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heckCompatibility="1" defaultThemeVersion="123820"/>
  <mc:AlternateContent xmlns:mc="http://schemas.openxmlformats.org/markup-compatibility/2006">
    <mc:Choice Requires="x15">
      <x15ac:absPath xmlns:x15ac="http://schemas.microsoft.com/office/spreadsheetml/2010/11/ac" url="C:\IO Finance\Web\"/>
    </mc:Choice>
  </mc:AlternateContent>
  <xr:revisionPtr revIDLastSave="0" documentId="13_ncr:1_{77FF8850-E589-4806-8635-45E2F51D45BD}" xr6:coauthVersionLast="44" xr6:coauthVersionMax="44" xr10:uidLastSave="{00000000-0000-0000-0000-000000000000}"/>
  <bookViews>
    <workbookView xWindow="-110" yWindow="-110" windowWidth="19420" windowHeight="10420" tabRatio="597" firstSheet="1" activeTab="1" xr2:uid="{00000000-000D-0000-FFFF-FFFF00000000}"/>
  </bookViews>
  <sheets>
    <sheet name="High lights" sheetId="24" r:id="rId1"/>
    <sheet name="Monthly P&amp;L" sheetId="16" r:id="rId2"/>
    <sheet name="Revenue" sheetId="25" r:id="rId3"/>
    <sheet name="Expenses" sheetId="17" r:id="rId4"/>
    <sheet name="Payroll &amp; related" sheetId="22" r:id="rId5"/>
    <sheet name="Assumptions" sheetId="18" r:id="rId6"/>
  </sheets>
  <definedNames>
    <definedName name="abroad">Assumptions!$C$15</definedName>
    <definedName name="IL_comm_Overhead">Assumptions!$C$13</definedName>
    <definedName name="IL_Sallary_Overhead">Assumptions!$C$11</definedName>
    <definedName name="Recruiting">Assumptions!#REF!</definedName>
    <definedName name="Rev_Share" localSheetId="2">Assumptions!#REF!</definedName>
    <definedName name="Rev_Share">Assumptions!#REF!</definedName>
    <definedName name="Rev_Share_High" localSheetId="2">Assumptions!#REF!</definedName>
    <definedName name="Rev_Share_High">Assumptions!#REF!</definedName>
    <definedName name="Rev_Share_Low" localSheetId="2">Assumptions!#REF!</definedName>
    <definedName name="Rev_Share_Low">Assumptions!#REF!</definedName>
    <definedName name="Trigger_cost" localSheetId="2">Assumptions!#REF!</definedName>
    <definedName name="Trigger_cost">Assumptions!#REF!</definedName>
    <definedName name="Trigger_Cost_Min" localSheetId="2">Assumptions!#REF!</definedName>
    <definedName name="Trigger_Cost_Min">Assumptions!#REF!</definedName>
    <definedName name="trigger_cost_np" localSheetId="2">#REF!</definedName>
    <definedName name="trigger_cost_np">#REF!</definedName>
    <definedName name="Trigger_Cost_Switching" localSheetId="2">Assumptions!#REF!</definedName>
    <definedName name="Trigger_Cost_Switching">Assumptions!#REF!</definedName>
    <definedName name="US_Sallary_Overhead">Assumptions!$D$11</definedName>
    <definedName name="USD">Assumptions!$C$6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9" i="25" l="1"/>
  <c r="P10" i="25"/>
  <c r="P11" i="25"/>
  <c r="P8" i="25"/>
  <c r="O68" i="17"/>
  <c r="N68" i="17"/>
  <c r="M68" i="17"/>
  <c r="L68" i="17"/>
  <c r="K68" i="17"/>
  <c r="J68" i="17"/>
  <c r="I68" i="17"/>
  <c r="H68" i="17"/>
  <c r="G68" i="17"/>
  <c r="F68" i="17"/>
  <c r="E68" i="17"/>
  <c r="E67" i="17"/>
  <c r="F67" i="17"/>
  <c r="G67" i="17"/>
  <c r="H67" i="17"/>
  <c r="I67" i="17"/>
  <c r="J67" i="17"/>
  <c r="K67" i="17"/>
  <c r="L67" i="17"/>
  <c r="M67" i="17"/>
  <c r="H46" i="17"/>
  <c r="I46" i="17"/>
  <c r="J46" i="17"/>
  <c r="K46" i="17"/>
  <c r="L46" i="17"/>
  <c r="M46" i="17"/>
  <c r="N46" i="17"/>
  <c r="O46" i="17"/>
  <c r="E38" i="17"/>
  <c r="F38" i="17" s="1"/>
  <c r="G38" i="17" s="1"/>
  <c r="H38" i="17" s="1"/>
  <c r="I38" i="17" s="1"/>
  <c r="J38" i="17" s="1"/>
  <c r="K38" i="17" s="1"/>
  <c r="L38" i="17" s="1"/>
  <c r="M38" i="17" s="1"/>
  <c r="N38" i="17" s="1"/>
  <c r="O38" i="17" s="1"/>
  <c r="E30" i="17"/>
  <c r="F30" i="17"/>
  <c r="G30" i="17" s="1"/>
  <c r="H30" i="17" s="1"/>
  <c r="I30" i="17" s="1"/>
  <c r="J30" i="17" s="1"/>
  <c r="K30" i="17" s="1"/>
  <c r="L30" i="17" s="1"/>
  <c r="M30" i="17" s="1"/>
  <c r="N30" i="17" s="1"/>
  <c r="O30" i="17" s="1"/>
  <c r="E31" i="17"/>
  <c r="F31" i="17"/>
  <c r="G31" i="17"/>
  <c r="H31" i="17" s="1"/>
  <c r="I31" i="17" s="1"/>
  <c r="J31" i="17" s="1"/>
  <c r="K31" i="17" s="1"/>
  <c r="L31" i="17" s="1"/>
  <c r="M31" i="17" s="1"/>
  <c r="N31" i="17" s="1"/>
  <c r="O31" i="17" s="1"/>
  <c r="E32" i="17"/>
  <c r="F32" i="17"/>
  <c r="G32" i="17"/>
  <c r="H32" i="17"/>
  <c r="I32" i="17" s="1"/>
  <c r="J32" i="17" s="1"/>
  <c r="K32" i="17" s="1"/>
  <c r="L32" i="17" s="1"/>
  <c r="M32" i="17" s="1"/>
  <c r="N32" i="17" s="1"/>
  <c r="O32" i="17" s="1"/>
  <c r="E28" i="17"/>
  <c r="F28" i="17" s="1"/>
  <c r="G28" i="17" s="1"/>
  <c r="H28" i="17" s="1"/>
  <c r="I28" i="17" s="1"/>
  <c r="J28" i="17" s="1"/>
  <c r="K28" i="17" s="1"/>
  <c r="L28" i="17" s="1"/>
  <c r="M28" i="17" s="1"/>
  <c r="N28" i="17" s="1"/>
  <c r="O28" i="17" s="1"/>
  <c r="E15" i="17"/>
  <c r="P59" i="17" l="1"/>
  <c r="P60" i="17"/>
  <c r="P61" i="17"/>
  <c r="P62" i="17"/>
  <c r="D63" i="17"/>
  <c r="E63" i="17"/>
  <c r="F63" i="17"/>
  <c r="G63" i="17"/>
  <c r="H63" i="17"/>
  <c r="I63" i="17"/>
  <c r="J63" i="17"/>
  <c r="K63" i="17"/>
  <c r="L63" i="17"/>
  <c r="M63" i="17"/>
  <c r="N63" i="17"/>
  <c r="O63" i="17"/>
  <c r="K24" i="22"/>
  <c r="D59" i="16" s="1"/>
  <c r="L24" i="22"/>
  <c r="E59" i="16" s="1"/>
  <c r="P59" i="16" s="1"/>
  <c r="M24" i="22"/>
  <c r="F59" i="16" s="1"/>
  <c r="N24" i="22"/>
  <c r="G59" i="16" s="1"/>
  <c r="O24" i="22"/>
  <c r="H59" i="16" s="1"/>
  <c r="Q59" i="16" s="1"/>
  <c r="P24" i="22"/>
  <c r="I59" i="16" s="1"/>
  <c r="Q24" i="22"/>
  <c r="J59" i="16" s="1"/>
  <c r="R24" i="22"/>
  <c r="E24" i="24" s="1"/>
  <c r="S24" i="22"/>
  <c r="L59" i="16" s="1"/>
  <c r="T24" i="22"/>
  <c r="M59" i="16" s="1"/>
  <c r="U24" i="22"/>
  <c r="N59" i="16" s="1"/>
  <c r="T59" i="16" s="1"/>
  <c r="J24" i="22"/>
  <c r="C59" i="16" s="1"/>
  <c r="P68" i="17"/>
  <c r="P70" i="17"/>
  <c r="P38" i="17"/>
  <c r="P39" i="17"/>
  <c r="P31" i="17"/>
  <c r="P28" i="17"/>
  <c r="O11" i="25"/>
  <c r="N11" i="25"/>
  <c r="M11" i="25"/>
  <c r="L11" i="25"/>
  <c r="K11" i="25"/>
  <c r="J11" i="25"/>
  <c r="I11" i="25"/>
  <c r="H11" i="25"/>
  <c r="G11" i="25"/>
  <c r="F11" i="25"/>
  <c r="E11" i="25"/>
  <c r="D11" i="25"/>
  <c r="O9" i="25"/>
  <c r="N9" i="25"/>
  <c r="M9" i="25"/>
  <c r="L9" i="25"/>
  <c r="K9" i="25"/>
  <c r="K12" i="25" s="1"/>
  <c r="J8" i="16" s="1"/>
  <c r="J9" i="25"/>
  <c r="J12" i="25" s="1"/>
  <c r="J8" i="17" s="1"/>
  <c r="I9" i="25"/>
  <c r="I12" i="25" s="1"/>
  <c r="I8" i="17" s="1"/>
  <c r="H9" i="25"/>
  <c r="G9" i="25"/>
  <c r="F9" i="25"/>
  <c r="E9" i="25"/>
  <c r="B2" i="25"/>
  <c r="B1" i="25"/>
  <c r="E40" i="22"/>
  <c r="G43" i="22"/>
  <c r="G44" i="22"/>
  <c r="G42" i="22"/>
  <c r="G41" i="22"/>
  <c r="D45" i="17"/>
  <c r="B39" i="22"/>
  <c r="C39" i="22"/>
  <c r="D39" i="22"/>
  <c r="E39" i="22"/>
  <c r="B40" i="22"/>
  <c r="C40" i="22"/>
  <c r="D40" i="22"/>
  <c r="N25" i="22"/>
  <c r="G60" i="16" s="1"/>
  <c r="F54" i="17"/>
  <c r="G54" i="17"/>
  <c r="H54" i="17"/>
  <c r="P30" i="17"/>
  <c r="C15" i="18"/>
  <c r="E54" i="17"/>
  <c r="I54" i="17"/>
  <c r="J54" i="17"/>
  <c r="K54" i="17"/>
  <c r="L54" i="17"/>
  <c r="M54" i="17"/>
  <c r="N54" i="17"/>
  <c r="O54" i="17"/>
  <c r="L52" i="17"/>
  <c r="D33" i="17"/>
  <c r="C31" i="16" s="1"/>
  <c r="E22" i="17"/>
  <c r="F22" i="17"/>
  <c r="G22" i="17"/>
  <c r="H22" i="17"/>
  <c r="I22" i="17"/>
  <c r="J22" i="17"/>
  <c r="K22" i="17"/>
  <c r="L22" i="17"/>
  <c r="M22" i="17"/>
  <c r="N22" i="17"/>
  <c r="O22" i="17"/>
  <c r="C36" i="22"/>
  <c r="C37" i="22"/>
  <c r="C38" i="22"/>
  <c r="E41" i="22"/>
  <c r="C11" i="18"/>
  <c r="I33" i="22" s="1"/>
  <c r="T33" i="22" s="1"/>
  <c r="C33" i="16"/>
  <c r="D24" i="17"/>
  <c r="C24" i="16" s="1"/>
  <c r="F15" i="17"/>
  <c r="G15" i="17" s="1"/>
  <c r="H15" i="17" s="1"/>
  <c r="I15" i="17" s="1"/>
  <c r="J15" i="17" s="1"/>
  <c r="K15" i="17" s="1"/>
  <c r="L15" i="17" s="1"/>
  <c r="M15" i="17" s="1"/>
  <c r="N15" i="17" s="1"/>
  <c r="O15" i="17" s="1"/>
  <c r="E14" i="17"/>
  <c r="F14" i="17" s="1"/>
  <c r="K25" i="22"/>
  <c r="D60" i="16" s="1"/>
  <c r="L25" i="22"/>
  <c r="E60" i="16" s="1"/>
  <c r="P60" i="16" s="1"/>
  <c r="M25" i="22"/>
  <c r="F60" i="16" s="1"/>
  <c r="K26" i="22"/>
  <c r="D61" i="16" s="1"/>
  <c r="L26" i="22"/>
  <c r="E61" i="16" s="1"/>
  <c r="P61" i="16" s="1"/>
  <c r="K27" i="22"/>
  <c r="D62" i="16" s="1"/>
  <c r="L27" i="22"/>
  <c r="C27" i="24" s="1"/>
  <c r="M27" i="22"/>
  <c r="F62" i="16" s="1"/>
  <c r="N27" i="22"/>
  <c r="G62" i="16" s="1"/>
  <c r="O27" i="22"/>
  <c r="D27" i="24" s="1"/>
  <c r="P27" i="22"/>
  <c r="I62" i="16" s="1"/>
  <c r="Q27" i="22"/>
  <c r="J62" i="16" s="1"/>
  <c r="R27" i="22"/>
  <c r="K62" i="16" s="1"/>
  <c r="R62" i="16" s="1"/>
  <c r="S27" i="22"/>
  <c r="L62" i="16" s="1"/>
  <c r="T27" i="22"/>
  <c r="M62" i="16" s="1"/>
  <c r="U27" i="22"/>
  <c r="F27" i="24" s="1"/>
  <c r="J27" i="22"/>
  <c r="C62" i="16" s="1"/>
  <c r="J26" i="22"/>
  <c r="C61" i="16" s="1"/>
  <c r="J25" i="22"/>
  <c r="C60" i="16" s="1"/>
  <c r="B44" i="22"/>
  <c r="C44" i="22"/>
  <c r="D44" i="22"/>
  <c r="E44" i="22"/>
  <c r="F44" i="22"/>
  <c r="S51" i="16"/>
  <c r="R51" i="16"/>
  <c r="Q51" i="16"/>
  <c r="P51" i="16"/>
  <c r="D12" i="16"/>
  <c r="E12" i="16"/>
  <c r="F12" i="16"/>
  <c r="G12" i="16"/>
  <c r="H12" i="16"/>
  <c r="I12" i="16"/>
  <c r="J12" i="16"/>
  <c r="K12" i="16"/>
  <c r="L12" i="16"/>
  <c r="M12" i="16"/>
  <c r="N12" i="16"/>
  <c r="C12" i="16"/>
  <c r="E16" i="17"/>
  <c r="F16" i="17"/>
  <c r="G16" i="17"/>
  <c r="H16" i="17"/>
  <c r="I16" i="17"/>
  <c r="J16" i="17"/>
  <c r="K16" i="17"/>
  <c r="L16" i="17"/>
  <c r="M16" i="17"/>
  <c r="N16" i="17"/>
  <c r="O16" i="17"/>
  <c r="O40" i="17"/>
  <c r="B33" i="22"/>
  <c r="B34" i="22"/>
  <c r="B35" i="22"/>
  <c r="B36" i="22"/>
  <c r="B37" i="22"/>
  <c r="B38" i="22"/>
  <c r="B41" i="22"/>
  <c r="B42" i="22"/>
  <c r="B43" i="22"/>
  <c r="B32" i="22"/>
  <c r="E29" i="17"/>
  <c r="F29" i="17" s="1"/>
  <c r="O27" i="17"/>
  <c r="N27" i="17"/>
  <c r="M27" i="17"/>
  <c r="L27" i="17"/>
  <c r="K27" i="17"/>
  <c r="J27" i="17"/>
  <c r="I27" i="17"/>
  <c r="H27" i="17"/>
  <c r="G27" i="17"/>
  <c r="F27" i="17"/>
  <c r="E27" i="17"/>
  <c r="D27" i="17"/>
  <c r="C41" i="22"/>
  <c r="D41" i="22"/>
  <c r="F41" i="22"/>
  <c r="C42" i="22"/>
  <c r="D42" i="22"/>
  <c r="E42" i="22"/>
  <c r="F42" i="22"/>
  <c r="C43" i="22"/>
  <c r="D43" i="22"/>
  <c r="E43" i="22"/>
  <c r="F43" i="22"/>
  <c r="C33" i="22"/>
  <c r="D33" i="22"/>
  <c r="E33" i="22"/>
  <c r="C34" i="22"/>
  <c r="C35" i="22"/>
  <c r="C32" i="22"/>
  <c r="D31" i="24"/>
  <c r="E31" i="24"/>
  <c r="F31" i="24"/>
  <c r="C31" i="24"/>
  <c r="D23" i="24"/>
  <c r="E23" i="24"/>
  <c r="F23" i="24"/>
  <c r="C23" i="24"/>
  <c r="E9" i="17"/>
  <c r="F9" i="17"/>
  <c r="G9" i="17"/>
  <c r="H9" i="17"/>
  <c r="I9" i="17"/>
  <c r="J9" i="17"/>
  <c r="K9" i="17"/>
  <c r="L9" i="17"/>
  <c r="M9" i="17"/>
  <c r="N9" i="17"/>
  <c r="O9" i="17"/>
  <c r="D34" i="22"/>
  <c r="D35" i="22"/>
  <c r="D36" i="22"/>
  <c r="D37" i="22"/>
  <c r="D38" i="22"/>
  <c r="D32" i="22"/>
  <c r="O23" i="17"/>
  <c r="H21" i="17"/>
  <c r="N21" i="17"/>
  <c r="E34" i="22"/>
  <c r="E35" i="22"/>
  <c r="E36" i="22"/>
  <c r="E37" i="22"/>
  <c r="E38" i="22"/>
  <c r="F34" i="22"/>
  <c r="F35" i="22"/>
  <c r="F36" i="22"/>
  <c r="I36" i="22" s="1"/>
  <c r="F37" i="22"/>
  <c r="F38" i="22"/>
  <c r="F40" i="22"/>
  <c r="E32" i="22"/>
  <c r="F32" i="22"/>
  <c r="B3" i="24"/>
  <c r="B2" i="24"/>
  <c r="J22" i="22"/>
  <c r="C16" i="18"/>
  <c r="K22" i="22"/>
  <c r="L22" i="22"/>
  <c r="M22" i="22"/>
  <c r="N22" i="22"/>
  <c r="O22" i="22"/>
  <c r="P22" i="22"/>
  <c r="Q22" i="22"/>
  <c r="R22" i="22"/>
  <c r="S22" i="22"/>
  <c r="T22" i="22"/>
  <c r="U22" i="22"/>
  <c r="B2" i="16"/>
  <c r="B1" i="16"/>
  <c r="B2" i="17"/>
  <c r="B1" i="17"/>
  <c r="D6" i="17"/>
  <c r="E6" i="17"/>
  <c r="F6" i="17"/>
  <c r="G6" i="17"/>
  <c r="H6" i="17"/>
  <c r="I6" i="17"/>
  <c r="J6" i="17"/>
  <c r="K6" i="17"/>
  <c r="L6" i="17"/>
  <c r="M6" i="17"/>
  <c r="N6" i="17"/>
  <c r="O6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D66" i="17"/>
  <c r="E66" i="17"/>
  <c r="F66" i="17"/>
  <c r="G66" i="17"/>
  <c r="H66" i="17"/>
  <c r="I66" i="17"/>
  <c r="J66" i="17"/>
  <c r="K66" i="17"/>
  <c r="L66" i="17"/>
  <c r="M66" i="17"/>
  <c r="N66" i="17"/>
  <c r="O66" i="17"/>
  <c r="L21" i="17"/>
  <c r="I21" i="17"/>
  <c r="E21" i="17"/>
  <c r="K21" i="17"/>
  <c r="O21" i="17"/>
  <c r="F21" i="17"/>
  <c r="M21" i="17"/>
  <c r="J23" i="17"/>
  <c r="K23" i="17"/>
  <c r="L23" i="17"/>
  <c r="G21" i="17"/>
  <c r="G23" i="17"/>
  <c r="J21" i="17"/>
  <c r="M23" i="17"/>
  <c r="E23" i="17"/>
  <c r="F23" i="17"/>
  <c r="H23" i="17"/>
  <c r="I23" i="17"/>
  <c r="N23" i="17"/>
  <c r="E7" i="17"/>
  <c r="F7" i="17" s="1"/>
  <c r="G7" i="17" s="1"/>
  <c r="J23" i="22"/>
  <c r="D71" i="17" s="1"/>
  <c r="L23" i="22"/>
  <c r="K23" i="22"/>
  <c r="E69" i="17" s="1"/>
  <c r="E71" i="17" s="1"/>
  <c r="D49" i="16" s="1"/>
  <c r="J40" i="16"/>
  <c r="C32" i="16"/>
  <c r="H32" i="16"/>
  <c r="H40" i="16"/>
  <c r="I32" i="16"/>
  <c r="L32" i="16"/>
  <c r="D32" i="16"/>
  <c r="J32" i="16"/>
  <c r="M32" i="16"/>
  <c r="F32" i="16"/>
  <c r="E32" i="16"/>
  <c r="G40" i="16"/>
  <c r="I40" i="16"/>
  <c r="N32" i="16"/>
  <c r="K32" i="16"/>
  <c r="G32" i="16"/>
  <c r="N40" i="16"/>
  <c r="F40" i="16"/>
  <c r="K40" i="16"/>
  <c r="M40" i="16"/>
  <c r="D40" i="16"/>
  <c r="E40" i="16"/>
  <c r="L40" i="16"/>
  <c r="C40" i="16"/>
  <c r="C23" i="16"/>
  <c r="E23" i="16"/>
  <c r="G23" i="16"/>
  <c r="J23" i="16"/>
  <c r="H23" i="16"/>
  <c r="N23" i="16"/>
  <c r="M23" i="16"/>
  <c r="L23" i="16"/>
  <c r="F23" i="16"/>
  <c r="I23" i="16"/>
  <c r="K23" i="16"/>
  <c r="D23" i="16"/>
  <c r="I40" i="17"/>
  <c r="H40" i="17"/>
  <c r="G40" i="17"/>
  <c r="E40" i="17"/>
  <c r="L40" i="17"/>
  <c r="F40" i="17"/>
  <c r="K40" i="17"/>
  <c r="M40" i="17"/>
  <c r="J40" i="17"/>
  <c r="N40" i="17"/>
  <c r="D17" i="17"/>
  <c r="C22" i="16" s="1"/>
  <c r="E37" i="17"/>
  <c r="D41" i="17"/>
  <c r="O25" i="22"/>
  <c r="D25" i="24" s="1"/>
  <c r="J7" i="17"/>
  <c r="M23" i="22"/>
  <c r="M26" i="22"/>
  <c r="F61" i="16" s="1"/>
  <c r="N26" i="22"/>
  <c r="G61" i="16" s="1"/>
  <c r="N23" i="22"/>
  <c r="H69" i="17" s="1"/>
  <c r="O26" i="22"/>
  <c r="D26" i="24" s="1"/>
  <c r="P26" i="22"/>
  <c r="I61" i="16" s="1"/>
  <c r="Q26" i="22"/>
  <c r="J61" i="16" s="1"/>
  <c r="R26" i="22"/>
  <c r="K61" i="16" s="1"/>
  <c r="R61" i="16" s="1"/>
  <c r="S26" i="22"/>
  <c r="L61" i="16" s="1"/>
  <c r="T26" i="22"/>
  <c r="M61" i="16" s="1"/>
  <c r="U26" i="22"/>
  <c r="F26" i="24" s="1"/>
  <c r="O23" i="22"/>
  <c r="P25" i="22"/>
  <c r="I60" i="16" s="1"/>
  <c r="L53" i="17"/>
  <c r="N53" i="17"/>
  <c r="E52" i="17"/>
  <c r="J52" i="17"/>
  <c r="N62" i="16" l="1"/>
  <c r="S62" i="16" s="1"/>
  <c r="E12" i="25"/>
  <c r="D8" i="16" s="1"/>
  <c r="D30" i="16" s="1"/>
  <c r="F12" i="25"/>
  <c r="F8" i="17" s="1"/>
  <c r="N12" i="25"/>
  <c r="N8" i="17" s="1"/>
  <c r="C24" i="24"/>
  <c r="G12" i="25"/>
  <c r="F8" i="16" s="1"/>
  <c r="O12" i="25"/>
  <c r="N8" i="16" s="1"/>
  <c r="N30" i="16" s="1"/>
  <c r="F24" i="24"/>
  <c r="H12" i="25"/>
  <c r="G8" i="16" s="1"/>
  <c r="G30" i="16" s="1"/>
  <c r="E62" i="16"/>
  <c r="P62" i="16" s="1"/>
  <c r="N61" i="16"/>
  <c r="T61" i="16" s="1"/>
  <c r="C26" i="24"/>
  <c r="I38" i="22"/>
  <c r="L38" i="22" s="1"/>
  <c r="I34" i="22"/>
  <c r="J34" i="22" s="1"/>
  <c r="I37" i="22"/>
  <c r="M37" i="22" s="1"/>
  <c r="I39" i="22"/>
  <c r="M39" i="22" s="1"/>
  <c r="I40" i="22"/>
  <c r="N40" i="22" s="1"/>
  <c r="I35" i="22"/>
  <c r="N35" i="22" s="1"/>
  <c r="P54" i="17"/>
  <c r="P22" i="17"/>
  <c r="P63" i="17"/>
  <c r="P9" i="17"/>
  <c r="P40" i="17"/>
  <c r="P23" i="17"/>
  <c r="P21" i="17"/>
  <c r="E17" i="17"/>
  <c r="D22" i="16" s="1"/>
  <c r="P16" i="17"/>
  <c r="P32" i="17"/>
  <c r="I10" i="17"/>
  <c r="H13" i="16" s="1"/>
  <c r="P15" i="17"/>
  <c r="F63" i="16"/>
  <c r="G63" i="16"/>
  <c r="D63" i="16"/>
  <c r="C63" i="16"/>
  <c r="C25" i="24"/>
  <c r="I63" i="16"/>
  <c r="D24" i="24"/>
  <c r="E27" i="24"/>
  <c r="E26" i="24"/>
  <c r="H62" i="16"/>
  <c r="Q62" i="16" s="1"/>
  <c r="H61" i="16"/>
  <c r="H60" i="16"/>
  <c r="Q60" i="16" s="1"/>
  <c r="K59" i="16"/>
  <c r="R59" i="16" s="1"/>
  <c r="L21" i="22"/>
  <c r="F46" i="17" s="1"/>
  <c r="S59" i="16"/>
  <c r="F30" i="16"/>
  <c r="T51" i="16"/>
  <c r="H8" i="17"/>
  <c r="M8" i="16"/>
  <c r="I8" i="16"/>
  <c r="E8" i="16"/>
  <c r="J30" i="16"/>
  <c r="E8" i="17"/>
  <c r="E10" i="17" s="1"/>
  <c r="D13" i="16" s="1"/>
  <c r="H8" i="16"/>
  <c r="Q8" i="16" s="1"/>
  <c r="D8" i="24" s="1"/>
  <c r="O8" i="17"/>
  <c r="O10" i="17" s="1"/>
  <c r="N13" i="16" s="1"/>
  <c r="K8" i="17"/>
  <c r="G8" i="17"/>
  <c r="G10" i="17" s="1"/>
  <c r="F13" i="16" s="1"/>
  <c r="L24" i="17"/>
  <c r="K24" i="16" s="1"/>
  <c r="D33" i="16"/>
  <c r="J10" i="17"/>
  <c r="I13" i="16" s="1"/>
  <c r="N24" i="17"/>
  <c r="M24" i="16" s="1"/>
  <c r="E24" i="17"/>
  <c r="D24" i="16" s="1"/>
  <c r="M24" i="17"/>
  <c r="L24" i="16" s="1"/>
  <c r="H52" i="17"/>
  <c r="L55" i="17"/>
  <c r="K39" i="16" s="1"/>
  <c r="O52" i="17"/>
  <c r="I52" i="17"/>
  <c r="K7" i="17"/>
  <c r="L7" i="17" s="1"/>
  <c r="M7" i="17" s="1"/>
  <c r="N7" i="17" s="1"/>
  <c r="F24" i="17"/>
  <c r="E24" i="16" s="1"/>
  <c r="F52" i="17"/>
  <c r="O24" i="17"/>
  <c r="N24" i="16" s="1"/>
  <c r="I24" i="17"/>
  <c r="H24" i="16" s="1"/>
  <c r="N52" i="17"/>
  <c r="N55" i="17" s="1"/>
  <c r="M39" i="16" s="1"/>
  <c r="K52" i="17"/>
  <c r="M52" i="17"/>
  <c r="G52" i="17"/>
  <c r="H24" i="17"/>
  <c r="G24" i="16" s="1"/>
  <c r="J24" i="17"/>
  <c r="I24" i="16" s="1"/>
  <c r="K24" i="17"/>
  <c r="J24" i="16" s="1"/>
  <c r="G24" i="17"/>
  <c r="F24" i="16" s="1"/>
  <c r="F17" i="17"/>
  <c r="E22" i="16" s="1"/>
  <c r="P22" i="16" s="1"/>
  <c r="G14" i="17"/>
  <c r="H14" i="17" s="1"/>
  <c r="I14" i="17" s="1"/>
  <c r="G29" i="17"/>
  <c r="F33" i="17"/>
  <c r="E31" i="16" s="1"/>
  <c r="H7" i="17"/>
  <c r="H10" i="17" s="1"/>
  <c r="G13" i="16" s="1"/>
  <c r="E33" i="17"/>
  <c r="F37" i="17"/>
  <c r="F10" i="17"/>
  <c r="E13" i="16" s="1"/>
  <c r="E41" i="17"/>
  <c r="L12" i="25"/>
  <c r="M12" i="25"/>
  <c r="D12" i="25"/>
  <c r="I44" i="22"/>
  <c r="M44" i="22" s="1"/>
  <c r="I43" i="22"/>
  <c r="P43" i="22" s="1"/>
  <c r="M33" i="22"/>
  <c r="P12" i="16"/>
  <c r="Q40" i="16"/>
  <c r="H71" i="17"/>
  <c r="G49" i="16" s="1"/>
  <c r="P40" i="16"/>
  <c r="I42" i="22"/>
  <c r="O42" i="22" s="1"/>
  <c r="Q32" i="16"/>
  <c r="P23" i="16"/>
  <c r="M21" i="22"/>
  <c r="Q23" i="16"/>
  <c r="S32" i="16"/>
  <c r="G69" i="17"/>
  <c r="R23" i="16"/>
  <c r="S23" i="16"/>
  <c r="S40" i="16"/>
  <c r="N21" i="22"/>
  <c r="H47" i="17" s="1"/>
  <c r="I32" i="22"/>
  <c r="T32" i="22" s="1"/>
  <c r="Q25" i="22"/>
  <c r="J60" i="16" s="1"/>
  <c r="J63" i="16" s="1"/>
  <c r="Q23" i="22"/>
  <c r="T36" i="22"/>
  <c r="J36" i="22"/>
  <c r="O28" i="22"/>
  <c r="O21" i="22"/>
  <c r="I47" i="17" s="1"/>
  <c r="F69" i="17"/>
  <c r="R12" i="16"/>
  <c r="Q12" i="16"/>
  <c r="K21" i="22"/>
  <c r="R32" i="16"/>
  <c r="P32" i="16"/>
  <c r="J21" i="22"/>
  <c r="P23" i="22"/>
  <c r="L28" i="22"/>
  <c r="I41" i="22"/>
  <c r="M41" i="22" s="1"/>
  <c r="K28" i="22"/>
  <c r="F47" i="17"/>
  <c r="N28" i="22"/>
  <c r="C49" i="16"/>
  <c r="M28" i="22"/>
  <c r="J28" i="22"/>
  <c r="N38" i="22"/>
  <c r="S12" i="16"/>
  <c r="P28" i="22"/>
  <c r="T38" i="22"/>
  <c r="S36" i="22"/>
  <c r="I69" i="17"/>
  <c r="R40" i="16"/>
  <c r="Q36" i="22"/>
  <c r="P36" i="22"/>
  <c r="U36" i="22"/>
  <c r="L36" i="22"/>
  <c r="O36" i="22"/>
  <c r="R36" i="22"/>
  <c r="N36" i="22"/>
  <c r="K36" i="22"/>
  <c r="M36" i="22"/>
  <c r="H53" i="17"/>
  <c r="I53" i="17"/>
  <c r="E53" i="17"/>
  <c r="M53" i="17"/>
  <c r="M55" i="17" s="1"/>
  <c r="K53" i="17"/>
  <c r="F53" i="17"/>
  <c r="J53" i="17"/>
  <c r="J55" i="17" s="1"/>
  <c r="G53" i="17"/>
  <c r="D55" i="17"/>
  <c r="O53" i="17"/>
  <c r="E45" i="17"/>
  <c r="O33" i="22"/>
  <c r="Q33" i="22"/>
  <c r="N33" i="22"/>
  <c r="P33" i="22"/>
  <c r="R33" i="22"/>
  <c r="U33" i="22"/>
  <c r="L33" i="22"/>
  <c r="K33" i="22"/>
  <c r="S33" i="22"/>
  <c r="J33" i="22"/>
  <c r="D47" i="17" l="1"/>
  <c r="D46" i="17"/>
  <c r="G47" i="17"/>
  <c r="G46" i="17"/>
  <c r="E47" i="17"/>
  <c r="E46" i="17"/>
  <c r="N37" i="22"/>
  <c r="S34" i="22"/>
  <c r="J38" i="22"/>
  <c r="Q38" i="22"/>
  <c r="O34" i="22"/>
  <c r="Q34" i="22"/>
  <c r="M35" i="22"/>
  <c r="M48" i="22" s="1"/>
  <c r="K38" i="22"/>
  <c r="K47" i="22" s="1"/>
  <c r="T34" i="22"/>
  <c r="S38" i="22"/>
  <c r="N34" i="22"/>
  <c r="E63" i="16"/>
  <c r="P63" i="16" s="1"/>
  <c r="R38" i="22"/>
  <c r="M38" i="22"/>
  <c r="K34" i="22"/>
  <c r="K48" i="22" s="1"/>
  <c r="L37" i="22"/>
  <c r="J37" i="22"/>
  <c r="P34" i="22"/>
  <c r="O37" i="22"/>
  <c r="L34" i="22"/>
  <c r="T37" i="22"/>
  <c r="S37" i="22"/>
  <c r="C28" i="24"/>
  <c r="S61" i="16"/>
  <c r="R37" i="22"/>
  <c r="P52" i="17"/>
  <c r="U34" i="22"/>
  <c r="P37" i="22"/>
  <c r="M34" i="22"/>
  <c r="K37" i="22"/>
  <c r="Q37" i="22"/>
  <c r="U37" i="22"/>
  <c r="N10" i="17"/>
  <c r="M13" i="16" s="1"/>
  <c r="T62" i="16"/>
  <c r="O44" i="22"/>
  <c r="K40" i="22"/>
  <c r="P38" i="22"/>
  <c r="U38" i="22"/>
  <c r="R34" i="22"/>
  <c r="O39" i="22"/>
  <c r="O38" i="22"/>
  <c r="T39" i="22"/>
  <c r="U39" i="22"/>
  <c r="S39" i="22"/>
  <c r="Q44" i="22"/>
  <c r="L39" i="22"/>
  <c r="L47" i="22" s="1"/>
  <c r="E11" i="16" s="1"/>
  <c r="Q39" i="22"/>
  <c r="J39" i="22"/>
  <c r="P39" i="22"/>
  <c r="R39" i="22"/>
  <c r="R47" i="22" s="1"/>
  <c r="K11" i="16" s="1"/>
  <c r="K39" i="22"/>
  <c r="K35" i="22"/>
  <c r="S35" i="22"/>
  <c r="N39" i="22"/>
  <c r="N47" i="22" s="1"/>
  <c r="J40" i="22"/>
  <c r="S40" i="22"/>
  <c r="S47" i="22" s="1"/>
  <c r="L11" i="16" s="1"/>
  <c r="M40" i="22"/>
  <c r="T40" i="22"/>
  <c r="U40" i="22"/>
  <c r="L40" i="22"/>
  <c r="Q35" i="22"/>
  <c r="T35" i="22"/>
  <c r="U35" i="22"/>
  <c r="U43" i="22"/>
  <c r="J35" i="22"/>
  <c r="J48" i="22" s="1"/>
  <c r="O40" i="22"/>
  <c r="O47" i="22" s="1"/>
  <c r="P35" i="22"/>
  <c r="Q40" i="22"/>
  <c r="R40" i="22"/>
  <c r="L35" i="22"/>
  <c r="R35" i="22"/>
  <c r="P40" i="22"/>
  <c r="O35" i="22"/>
  <c r="H55" i="17"/>
  <c r="E55" i="17"/>
  <c r="P53" i="17"/>
  <c r="P7" i="17"/>
  <c r="O55" i="17"/>
  <c r="F55" i="17"/>
  <c r="I55" i="17"/>
  <c r="K55" i="17"/>
  <c r="K10" i="17"/>
  <c r="J13" i="16" s="1"/>
  <c r="H17" i="17"/>
  <c r="G22" i="16" s="1"/>
  <c r="V33" i="22"/>
  <c r="V36" i="22"/>
  <c r="T43" i="22"/>
  <c r="D48" i="17"/>
  <c r="C41" i="16" s="1"/>
  <c r="H63" i="16"/>
  <c r="Q63" i="16" s="1"/>
  <c r="Q61" i="16"/>
  <c r="G26" i="24"/>
  <c r="M30" i="16"/>
  <c r="E30" i="16"/>
  <c r="R24" i="16"/>
  <c r="I30" i="16"/>
  <c r="M8" i="17"/>
  <c r="M10" i="17" s="1"/>
  <c r="L13" i="16" s="1"/>
  <c r="S13" i="16" s="1"/>
  <c r="L8" i="16"/>
  <c r="K8" i="16"/>
  <c r="L8" i="17"/>
  <c r="L10" i="17" s="1"/>
  <c r="K13" i="16" s="1"/>
  <c r="H30" i="16"/>
  <c r="Q30" i="16" s="1"/>
  <c r="C8" i="16"/>
  <c r="D8" i="17"/>
  <c r="S24" i="16"/>
  <c r="G17" i="17"/>
  <c r="F22" i="16" s="1"/>
  <c r="P24" i="16"/>
  <c r="Q24" i="16"/>
  <c r="G55" i="17"/>
  <c r="F39" i="16" s="1"/>
  <c r="P24" i="17"/>
  <c r="Q13" i="16"/>
  <c r="H29" i="17"/>
  <c r="G33" i="17"/>
  <c r="F31" i="16" s="1"/>
  <c r="G37" i="17"/>
  <c r="F41" i="17"/>
  <c r="E33" i="16"/>
  <c r="P33" i="16" s="1"/>
  <c r="D31" i="16"/>
  <c r="P31" i="16" s="1"/>
  <c r="J14" i="17"/>
  <c r="I17" i="17"/>
  <c r="P12" i="25"/>
  <c r="N39" i="16"/>
  <c r="E39" i="16"/>
  <c r="H39" i="16"/>
  <c r="O43" i="22"/>
  <c r="L39" i="16"/>
  <c r="S43" i="22"/>
  <c r="K43" i="22"/>
  <c r="S44" i="22"/>
  <c r="L44" i="22"/>
  <c r="J39" i="16"/>
  <c r="G39" i="16"/>
  <c r="R43" i="22"/>
  <c r="L43" i="22"/>
  <c r="I39" i="16"/>
  <c r="D39" i="16"/>
  <c r="Q43" i="22"/>
  <c r="M43" i="22"/>
  <c r="R44" i="22"/>
  <c r="J42" i="22"/>
  <c r="J44" i="22"/>
  <c r="T44" i="22"/>
  <c r="K44" i="22"/>
  <c r="Q42" i="22"/>
  <c r="N43" i="22"/>
  <c r="J43" i="22"/>
  <c r="U44" i="22"/>
  <c r="P44" i="22"/>
  <c r="N44" i="22"/>
  <c r="P42" i="22"/>
  <c r="S42" i="22"/>
  <c r="T42" i="22"/>
  <c r="R42" i="22"/>
  <c r="U42" i="22"/>
  <c r="N42" i="22"/>
  <c r="S32" i="22"/>
  <c r="K32" i="22"/>
  <c r="K50" i="22" s="1"/>
  <c r="M42" i="22"/>
  <c r="K42" i="22"/>
  <c r="M32" i="22"/>
  <c r="M50" i="22" s="1"/>
  <c r="L42" i="22"/>
  <c r="U32" i="22"/>
  <c r="U50" i="22" s="1"/>
  <c r="L32" i="22"/>
  <c r="L50" i="22" s="1"/>
  <c r="J32" i="22"/>
  <c r="K41" i="22"/>
  <c r="S41" i="22"/>
  <c r="T32" i="16"/>
  <c r="O32" i="22"/>
  <c r="O50" i="22" s="1"/>
  <c r="T12" i="16"/>
  <c r="N32" i="22"/>
  <c r="R32" i="22"/>
  <c r="Q32" i="22"/>
  <c r="T40" i="16"/>
  <c r="P32" i="22"/>
  <c r="T23" i="16"/>
  <c r="I71" i="17"/>
  <c r="H49" i="16" s="1"/>
  <c r="F71" i="17"/>
  <c r="E49" i="16" s="1"/>
  <c r="G71" i="17"/>
  <c r="F49" i="16" s="1"/>
  <c r="T50" i="22"/>
  <c r="J69" i="17"/>
  <c r="P21" i="22"/>
  <c r="J47" i="17" s="1"/>
  <c r="R23" i="22"/>
  <c r="R25" i="22"/>
  <c r="Q28" i="22"/>
  <c r="R41" i="22"/>
  <c r="P41" i="22"/>
  <c r="J41" i="22"/>
  <c r="N41" i="22"/>
  <c r="T41" i="22"/>
  <c r="U41" i="22"/>
  <c r="Q41" i="22"/>
  <c r="O41" i="22"/>
  <c r="L41" i="22"/>
  <c r="N48" i="22"/>
  <c r="K69" i="17"/>
  <c r="Q21" i="22"/>
  <c r="K47" i="17" s="1"/>
  <c r="G27" i="24"/>
  <c r="C39" i="16"/>
  <c r="Q48" i="22"/>
  <c r="F45" i="17"/>
  <c r="E48" i="17" l="1"/>
  <c r="M47" i="22"/>
  <c r="F11" i="16" s="1"/>
  <c r="P47" i="22"/>
  <c r="I11" i="16" s="1"/>
  <c r="Q47" i="22"/>
  <c r="J11" i="16" s="1"/>
  <c r="O48" i="22"/>
  <c r="H21" i="16" s="1"/>
  <c r="J47" i="22"/>
  <c r="C11" i="16" s="1"/>
  <c r="R48" i="22"/>
  <c r="K21" i="16" s="1"/>
  <c r="V38" i="22"/>
  <c r="L48" i="22"/>
  <c r="E21" i="16" s="1"/>
  <c r="V37" i="22"/>
  <c r="V34" i="22"/>
  <c r="P48" i="22"/>
  <c r="I21" i="16" s="1"/>
  <c r="O49" i="22"/>
  <c r="H29" i="16" s="1"/>
  <c r="V39" i="22"/>
  <c r="U47" i="22"/>
  <c r="N11" i="16" s="1"/>
  <c r="T47" i="22"/>
  <c r="M11" i="16" s="1"/>
  <c r="V40" i="22"/>
  <c r="V35" i="22"/>
  <c r="P55" i="17"/>
  <c r="R13" i="16"/>
  <c r="V44" i="22"/>
  <c r="V41" i="22"/>
  <c r="K60" i="16"/>
  <c r="E25" i="24"/>
  <c r="V42" i="22"/>
  <c r="V32" i="22"/>
  <c r="V43" i="22"/>
  <c r="D28" i="24"/>
  <c r="R8" i="16"/>
  <c r="E8" i="24" s="1"/>
  <c r="K30" i="16"/>
  <c r="R30" i="16" s="1"/>
  <c r="S8" i="16"/>
  <c r="F8" i="24" s="1"/>
  <c r="L30" i="16"/>
  <c r="S30" i="16" s="1"/>
  <c r="D10" i="17"/>
  <c r="P8" i="17"/>
  <c r="P8" i="16"/>
  <c r="C30" i="16"/>
  <c r="P30" i="16" s="1"/>
  <c r="P49" i="16"/>
  <c r="C19" i="24" s="1"/>
  <c r="T24" i="16"/>
  <c r="P39" i="16"/>
  <c r="Q39" i="16"/>
  <c r="R39" i="16"/>
  <c r="S39" i="16"/>
  <c r="H22" i="16"/>
  <c r="Q22" i="16" s="1"/>
  <c r="K14" i="17"/>
  <c r="J17" i="17"/>
  <c r="I22" i="16" s="1"/>
  <c r="I29" i="17"/>
  <c r="H33" i="17"/>
  <c r="G31" i="16" s="1"/>
  <c r="F33" i="16"/>
  <c r="H37" i="17"/>
  <c r="G41" i="17"/>
  <c r="J21" i="16"/>
  <c r="N38" i="16"/>
  <c r="M49" i="22"/>
  <c r="G11" i="16"/>
  <c r="D11" i="16"/>
  <c r="F21" i="16"/>
  <c r="E38" i="16"/>
  <c r="C21" i="16"/>
  <c r="D21" i="16"/>
  <c r="M38" i="16"/>
  <c r="D41" i="16"/>
  <c r="G21" i="16"/>
  <c r="H11" i="16"/>
  <c r="F38" i="16"/>
  <c r="D38" i="16"/>
  <c r="H38" i="16"/>
  <c r="T49" i="22"/>
  <c r="N49" i="22"/>
  <c r="Q49" i="22"/>
  <c r="S49" i="22"/>
  <c r="R49" i="22"/>
  <c r="S50" i="22"/>
  <c r="J50" i="22"/>
  <c r="K49" i="22"/>
  <c r="U49" i="22"/>
  <c r="P50" i="22"/>
  <c r="R50" i="22"/>
  <c r="Q50" i="22"/>
  <c r="L49" i="22"/>
  <c r="Q49" i="16"/>
  <c r="D19" i="24" s="1"/>
  <c r="N50" i="22"/>
  <c r="J71" i="17"/>
  <c r="I49" i="16" s="1"/>
  <c r="J49" i="22"/>
  <c r="P49" i="22"/>
  <c r="R28" i="22"/>
  <c r="L69" i="17"/>
  <c r="R21" i="22"/>
  <c r="L47" i="17" s="1"/>
  <c r="S48" i="22"/>
  <c r="S25" i="22"/>
  <c r="L60" i="16" s="1"/>
  <c r="L63" i="16" s="1"/>
  <c r="S23" i="22"/>
  <c r="K71" i="17"/>
  <c r="J49" i="16" s="1"/>
  <c r="G24" i="24"/>
  <c r="G45" i="17"/>
  <c r="F48" i="17"/>
  <c r="M51" i="22" l="1"/>
  <c r="O51" i="22"/>
  <c r="V47" i="22"/>
  <c r="V49" i="22"/>
  <c r="K63" i="16"/>
  <c r="R63" i="16" s="1"/>
  <c r="R60" i="16"/>
  <c r="V50" i="22"/>
  <c r="T30" i="16"/>
  <c r="C8" i="24"/>
  <c r="G8" i="24" s="1"/>
  <c r="T8" i="16"/>
  <c r="C13" i="16"/>
  <c r="P13" i="16" s="1"/>
  <c r="T13" i="16" s="1"/>
  <c r="P10" i="17"/>
  <c r="T39" i="16"/>
  <c r="H41" i="17"/>
  <c r="G33" i="16"/>
  <c r="I37" i="17"/>
  <c r="J29" i="17"/>
  <c r="I33" i="17"/>
  <c r="L14" i="17"/>
  <c r="K17" i="17"/>
  <c r="J22" i="16" s="1"/>
  <c r="J29" i="16"/>
  <c r="E29" i="16"/>
  <c r="G29" i="16"/>
  <c r="I29" i="16"/>
  <c r="J38" i="16"/>
  <c r="K29" i="16"/>
  <c r="M29" i="16"/>
  <c r="F29" i="16"/>
  <c r="I38" i="16"/>
  <c r="C38" i="16"/>
  <c r="P38" i="16" s="1"/>
  <c r="L21" i="16"/>
  <c r="N29" i="16"/>
  <c r="L38" i="16"/>
  <c r="S38" i="16" s="1"/>
  <c r="C29" i="16"/>
  <c r="G38" i="16"/>
  <c r="Q38" i="16" s="1"/>
  <c r="K38" i="16"/>
  <c r="D29" i="16"/>
  <c r="L29" i="16"/>
  <c r="Q51" i="22"/>
  <c r="K51" i="22"/>
  <c r="R51" i="22"/>
  <c r="S51" i="22"/>
  <c r="J51" i="22"/>
  <c r="N51" i="22"/>
  <c r="P51" i="22"/>
  <c r="L51" i="22"/>
  <c r="L71" i="17"/>
  <c r="K49" i="16" s="1"/>
  <c r="P11" i="16"/>
  <c r="T23" i="22"/>
  <c r="T25" i="22"/>
  <c r="M60" i="16" s="1"/>
  <c r="M63" i="16" s="1"/>
  <c r="T48" i="22"/>
  <c r="M69" i="17"/>
  <c r="S21" i="22"/>
  <c r="R21" i="16"/>
  <c r="S28" i="22"/>
  <c r="Q11" i="16"/>
  <c r="P21" i="16"/>
  <c r="R11" i="16"/>
  <c r="E41" i="16"/>
  <c r="S11" i="16"/>
  <c r="G48" i="17"/>
  <c r="H45" i="17"/>
  <c r="S29" i="16" l="1"/>
  <c r="P29" i="16"/>
  <c r="Q29" i="16"/>
  <c r="H31" i="16"/>
  <c r="Q31" i="16" s="1"/>
  <c r="L17" i="17"/>
  <c r="M14" i="17"/>
  <c r="J33" i="17"/>
  <c r="I31" i="16" s="1"/>
  <c r="K29" i="17"/>
  <c r="J37" i="17"/>
  <c r="H33" i="16"/>
  <c r="Q33" i="16" s="1"/>
  <c r="I41" i="17"/>
  <c r="C42" i="16"/>
  <c r="R38" i="16"/>
  <c r="T38" i="16" s="1"/>
  <c r="F41" i="16"/>
  <c r="F42" i="16" s="1"/>
  <c r="M21" i="16"/>
  <c r="R29" i="16"/>
  <c r="R49" i="16"/>
  <c r="E19" i="24" s="1"/>
  <c r="M71" i="17"/>
  <c r="L49" i="16" s="1"/>
  <c r="D42" i="16"/>
  <c r="P46" i="17"/>
  <c r="M47" i="17"/>
  <c r="T51" i="22"/>
  <c r="T28" i="22"/>
  <c r="N69" i="17"/>
  <c r="T21" i="22"/>
  <c r="N47" i="17" s="1"/>
  <c r="N67" i="17"/>
  <c r="E28" i="24"/>
  <c r="U48" i="22"/>
  <c r="V48" i="22" s="1"/>
  <c r="V51" i="22" s="1"/>
  <c r="U25" i="22"/>
  <c r="U23" i="22"/>
  <c r="T11" i="16"/>
  <c r="I45" i="17"/>
  <c r="H48" i="17"/>
  <c r="Q21" i="16"/>
  <c r="P41" i="16"/>
  <c r="E42" i="16"/>
  <c r="F25" i="24" l="1"/>
  <c r="N60" i="16"/>
  <c r="T29" i="16"/>
  <c r="E34" i="16"/>
  <c r="E35" i="16" s="1"/>
  <c r="C14" i="16"/>
  <c r="C15" i="16" s="1"/>
  <c r="N14" i="17"/>
  <c r="M17" i="17"/>
  <c r="L22" i="16" s="1"/>
  <c r="L29" i="17"/>
  <c r="K33" i="17"/>
  <c r="I33" i="16"/>
  <c r="J41" i="17"/>
  <c r="K37" i="17"/>
  <c r="K22" i="16"/>
  <c r="R22" i="16" s="1"/>
  <c r="C25" i="16"/>
  <c r="C26" i="16" s="1"/>
  <c r="C34" i="16"/>
  <c r="C35" i="16" s="1"/>
  <c r="G41" i="16"/>
  <c r="G42" i="16" s="1"/>
  <c r="N21" i="16"/>
  <c r="N71" i="17"/>
  <c r="M49" i="16" s="1"/>
  <c r="D14" i="16"/>
  <c r="D34" i="16"/>
  <c r="D35" i="16" s="1"/>
  <c r="D25" i="16"/>
  <c r="D26" i="16" s="1"/>
  <c r="O69" i="17"/>
  <c r="P69" i="17" s="1"/>
  <c r="O67" i="17"/>
  <c r="P67" i="17" s="1"/>
  <c r="U21" i="22"/>
  <c r="O47" i="17" s="1"/>
  <c r="P47" i="17" s="1"/>
  <c r="U28" i="22"/>
  <c r="U51" i="22"/>
  <c r="F14" i="16"/>
  <c r="P42" i="16"/>
  <c r="E25" i="16"/>
  <c r="J45" i="17"/>
  <c r="I48" i="17"/>
  <c r="F25" i="16"/>
  <c r="E14" i="16"/>
  <c r="F34" i="16"/>
  <c r="S60" i="16" l="1"/>
  <c r="T60" i="16"/>
  <c r="N63" i="16"/>
  <c r="C17" i="16"/>
  <c r="C43" i="16"/>
  <c r="C44" i="16" s="1"/>
  <c r="C46" i="16" s="1"/>
  <c r="P35" i="16"/>
  <c r="C13" i="24" s="1"/>
  <c r="J31" i="16"/>
  <c r="N17" i="17"/>
  <c r="O14" i="17"/>
  <c r="L37" i="17"/>
  <c r="J33" i="16"/>
  <c r="K41" i="17"/>
  <c r="L33" i="17"/>
  <c r="K31" i="16" s="1"/>
  <c r="M29" i="17"/>
  <c r="H41" i="16"/>
  <c r="Q41" i="16" s="1"/>
  <c r="P34" i="16"/>
  <c r="D43" i="16"/>
  <c r="D44" i="16" s="1"/>
  <c r="D46" i="16" s="1"/>
  <c r="D15" i="16"/>
  <c r="O71" i="17"/>
  <c r="N49" i="16" s="1"/>
  <c r="F35" i="16"/>
  <c r="G25" i="16"/>
  <c r="G26" i="16" s="1"/>
  <c r="G34" i="16"/>
  <c r="G35" i="16" s="1"/>
  <c r="E26" i="16"/>
  <c r="P25" i="16"/>
  <c r="E43" i="16"/>
  <c r="E15" i="16"/>
  <c r="P14" i="16"/>
  <c r="F26" i="16"/>
  <c r="J48" i="17"/>
  <c r="K45" i="17"/>
  <c r="G14" i="16"/>
  <c r="F43" i="16"/>
  <c r="F15" i="16"/>
  <c r="O17" i="17" l="1"/>
  <c r="N22" i="16" s="1"/>
  <c r="P14" i="17"/>
  <c r="T63" i="16"/>
  <c r="S63" i="16"/>
  <c r="H42" i="16"/>
  <c r="P71" i="17"/>
  <c r="R31" i="16"/>
  <c r="N29" i="17"/>
  <c r="M33" i="17"/>
  <c r="K33" i="16"/>
  <c r="R33" i="16" s="1"/>
  <c r="L41" i="17"/>
  <c r="M37" i="17"/>
  <c r="M22" i="16"/>
  <c r="S22" i="16" s="1"/>
  <c r="T22" i="16" s="1"/>
  <c r="P17" i="17"/>
  <c r="D17" i="16"/>
  <c r="D48" i="16" s="1"/>
  <c r="D50" i="16" s="1"/>
  <c r="S21" i="16"/>
  <c r="T21" i="16" s="1"/>
  <c r="S49" i="16"/>
  <c r="G43" i="16"/>
  <c r="G44" i="16" s="1"/>
  <c r="G46" i="16" s="1"/>
  <c r="G15" i="16"/>
  <c r="I41" i="16"/>
  <c r="P26" i="16"/>
  <c r="C12" i="24" s="1"/>
  <c r="F17" i="16"/>
  <c r="E17" i="16"/>
  <c r="P15" i="16"/>
  <c r="C9" i="24" s="1"/>
  <c r="L45" i="17"/>
  <c r="K48" i="17"/>
  <c r="F44" i="16"/>
  <c r="C48" i="16"/>
  <c r="E44" i="16"/>
  <c r="P44" i="16" s="1"/>
  <c r="C14" i="24" s="1"/>
  <c r="P43" i="16"/>
  <c r="Q42" i="16" l="1"/>
  <c r="H25" i="16"/>
  <c r="Q25" i="16" s="1"/>
  <c r="H14" i="16"/>
  <c r="H15" i="16" s="1"/>
  <c r="H34" i="16"/>
  <c r="H35" i="16" s="1"/>
  <c r="Q35" i="16" s="1"/>
  <c r="D13" i="24" s="1"/>
  <c r="L31" i="16"/>
  <c r="M41" i="17"/>
  <c r="N37" i="17"/>
  <c r="L33" i="16"/>
  <c r="O29" i="17"/>
  <c r="N33" i="17"/>
  <c r="M31" i="16" s="1"/>
  <c r="J41" i="16"/>
  <c r="J42" i="16" s="1"/>
  <c r="T49" i="16"/>
  <c r="F19" i="24"/>
  <c r="G19" i="24" s="1"/>
  <c r="G25" i="24"/>
  <c r="G28" i="24" s="1"/>
  <c r="F28" i="24"/>
  <c r="P17" i="16"/>
  <c r="M45" i="17"/>
  <c r="L48" i="17"/>
  <c r="C15" i="24"/>
  <c r="C32" i="24" s="1"/>
  <c r="I42" i="16"/>
  <c r="C50" i="16"/>
  <c r="C10" i="24"/>
  <c r="F46" i="16"/>
  <c r="E46" i="16"/>
  <c r="G17" i="16"/>
  <c r="G48" i="16" s="1"/>
  <c r="G50" i="16" s="1"/>
  <c r="H26" i="16" l="1"/>
  <c r="Q26" i="16" s="1"/>
  <c r="D12" i="24" s="1"/>
  <c r="O33" i="17"/>
  <c r="N31" i="16" s="1"/>
  <c r="P29" i="17"/>
  <c r="Q14" i="16"/>
  <c r="Q34" i="16"/>
  <c r="H43" i="16"/>
  <c r="H44" i="16" s="1"/>
  <c r="Q44" i="16" s="1"/>
  <c r="D14" i="24" s="1"/>
  <c r="I25" i="16"/>
  <c r="I26" i="16" s="1"/>
  <c r="P33" i="17"/>
  <c r="S31" i="16"/>
  <c r="T31" i="16" s="1"/>
  <c r="O37" i="17"/>
  <c r="P37" i="17" s="1"/>
  <c r="M33" i="16"/>
  <c r="N41" i="17"/>
  <c r="K41" i="16"/>
  <c r="R41" i="16" s="1"/>
  <c r="I34" i="16"/>
  <c r="I35" i="16" s="1"/>
  <c r="J14" i="16"/>
  <c r="J15" i="16" s="1"/>
  <c r="J25" i="16"/>
  <c r="J26" i="16" s="1"/>
  <c r="F48" i="16"/>
  <c r="H17" i="16"/>
  <c r="Q17" i="16" s="1"/>
  <c r="Q15" i="16"/>
  <c r="D9" i="24" s="1"/>
  <c r="P46" i="16"/>
  <c r="C53" i="16"/>
  <c r="D53" i="16" s="1"/>
  <c r="N45" i="17"/>
  <c r="M48" i="17"/>
  <c r="E48" i="16"/>
  <c r="C17" i="24"/>
  <c r="C20" i="24" s="1"/>
  <c r="C33" i="24" s="1"/>
  <c r="I14" i="16"/>
  <c r="J34" i="16"/>
  <c r="J35" i="16" s="1"/>
  <c r="H46" i="16" l="1"/>
  <c r="H48" i="16" s="1"/>
  <c r="H50" i="16" s="1"/>
  <c r="Q43" i="16"/>
  <c r="K42" i="16"/>
  <c r="K14" i="16" s="1"/>
  <c r="N33" i="16"/>
  <c r="S33" i="16" s="1"/>
  <c r="T33" i="16" s="1"/>
  <c r="O41" i="17"/>
  <c r="P41" i="17" s="1"/>
  <c r="L41" i="16"/>
  <c r="L42" i="16" s="1"/>
  <c r="J17" i="16"/>
  <c r="J43" i="16"/>
  <c r="J44" i="16" s="1"/>
  <c r="J46" i="16" s="1"/>
  <c r="O45" i="17"/>
  <c r="N48" i="17"/>
  <c r="D15" i="24"/>
  <c r="D32" i="24" s="1"/>
  <c r="F50" i="16"/>
  <c r="D10" i="24"/>
  <c r="I43" i="16"/>
  <c r="I15" i="16"/>
  <c r="E50" i="16"/>
  <c r="P50" i="16" s="1"/>
  <c r="P48" i="16"/>
  <c r="Q46" i="16" l="1"/>
  <c r="O48" i="17"/>
  <c r="N41" i="16" s="1"/>
  <c r="P45" i="17"/>
  <c r="K25" i="16"/>
  <c r="R25" i="16" s="1"/>
  <c r="L34" i="16"/>
  <c r="L35" i="16" s="1"/>
  <c r="R42" i="16"/>
  <c r="K34" i="16"/>
  <c r="K35" i="16" s="1"/>
  <c r="R35" i="16" s="1"/>
  <c r="E13" i="24" s="1"/>
  <c r="M41" i="16"/>
  <c r="M42" i="16" s="1"/>
  <c r="D17" i="24"/>
  <c r="D20" i="24" s="1"/>
  <c r="D33" i="24" s="1"/>
  <c r="E53" i="16"/>
  <c r="P53" i="16" s="1"/>
  <c r="C34" i="24" s="1"/>
  <c r="I17" i="16"/>
  <c r="K15" i="16"/>
  <c r="L25" i="16"/>
  <c r="Q48" i="16"/>
  <c r="I44" i="16"/>
  <c r="R14" i="16"/>
  <c r="Q50" i="16"/>
  <c r="L14" i="16"/>
  <c r="J48" i="16"/>
  <c r="J50" i="16" s="1"/>
  <c r="P48" i="17" l="1"/>
  <c r="K26" i="16"/>
  <c r="R34" i="16"/>
  <c r="K43" i="16"/>
  <c r="K44" i="16" s="1"/>
  <c r="R44" i="16" s="1"/>
  <c r="E14" i="24" s="1"/>
  <c r="S41" i="16"/>
  <c r="T41" i="16" s="1"/>
  <c r="D34" i="24"/>
  <c r="F53" i="16"/>
  <c r="G53" i="16" s="1"/>
  <c r="H53" i="16" s="1"/>
  <c r="Q53" i="16" s="1"/>
  <c r="L26" i="16"/>
  <c r="K17" i="16"/>
  <c r="M34" i="16"/>
  <c r="N42" i="16"/>
  <c r="I46" i="16"/>
  <c r="R15" i="16"/>
  <c r="E9" i="24" s="1"/>
  <c r="M14" i="16"/>
  <c r="R26" i="16"/>
  <c r="E12" i="24" s="1"/>
  <c r="L43" i="16"/>
  <c r="L15" i="16"/>
  <c r="M25" i="16"/>
  <c r="M26" i="16" s="1"/>
  <c r="K46" i="16" l="1"/>
  <c r="K48" i="16" s="1"/>
  <c r="K50" i="16" s="1"/>
  <c r="R43" i="16"/>
  <c r="I48" i="16"/>
  <c r="I50" i="16" s="1"/>
  <c r="S42" i="16"/>
  <c r="T42" i="16" s="1"/>
  <c r="E10" i="24"/>
  <c r="R17" i="16"/>
  <c r="N25" i="16"/>
  <c r="N26" i="16" s="1"/>
  <c r="S26" i="16" s="1"/>
  <c r="F12" i="24" s="1"/>
  <c r="L44" i="16"/>
  <c r="L46" i="16" s="1"/>
  <c r="M43" i="16"/>
  <c r="M44" i="16" s="1"/>
  <c r="M15" i="16"/>
  <c r="M35" i="16"/>
  <c r="L17" i="16"/>
  <c r="E15" i="24"/>
  <c r="E32" i="24" s="1"/>
  <c r="N34" i="16"/>
  <c r="N35" i="16" s="1"/>
  <c r="N14" i="16"/>
  <c r="R46" i="16" l="1"/>
  <c r="S25" i="16"/>
  <c r="T25" i="16" s="1"/>
  <c r="T26" i="16" s="1"/>
  <c r="S35" i="16"/>
  <c r="F13" i="24" s="1"/>
  <c r="G13" i="24" s="1"/>
  <c r="R48" i="16"/>
  <c r="M17" i="16"/>
  <c r="M46" i="16"/>
  <c r="G12" i="24"/>
  <c r="E17" i="24"/>
  <c r="E20" i="24" s="1"/>
  <c r="R50" i="16"/>
  <c r="I53" i="16"/>
  <c r="J53" i="16" s="1"/>
  <c r="K53" i="16" s="1"/>
  <c r="N43" i="16"/>
  <c r="N15" i="16"/>
  <c r="S14" i="16"/>
  <c r="T14" i="16" s="1"/>
  <c r="T15" i="16" s="1"/>
  <c r="L48" i="16"/>
  <c r="S34" i="16"/>
  <c r="T34" i="16" s="1"/>
  <c r="T35" i="16" s="1"/>
  <c r="N17" i="16" l="1"/>
  <c r="S15" i="16"/>
  <c r="F9" i="24" s="1"/>
  <c r="E33" i="24"/>
  <c r="E34" i="24"/>
  <c r="R53" i="16"/>
  <c r="L50" i="16"/>
  <c r="S43" i="16"/>
  <c r="T43" i="16" s="1"/>
  <c r="T44" i="16" s="1"/>
  <c r="N44" i="16"/>
  <c r="M48" i="16"/>
  <c r="M50" i="16" s="1"/>
  <c r="F10" i="24" l="1"/>
  <c r="G9" i="24"/>
  <c r="L53" i="16"/>
  <c r="M53" i="16" s="1"/>
  <c r="S17" i="16"/>
  <c r="T17" i="16" s="1"/>
  <c r="N46" i="16"/>
  <c r="S44" i="16"/>
  <c r="F14" i="24" s="1"/>
  <c r="N48" i="16" l="1"/>
  <c r="N50" i="16" s="1"/>
  <c r="S50" i="16" s="1"/>
  <c r="T50" i="16" s="1"/>
  <c r="G14" i="24"/>
  <c r="G15" i="24" s="1"/>
  <c r="G32" i="24" s="1"/>
  <c r="F15" i="24"/>
  <c r="F32" i="24" s="1"/>
  <c r="S46" i="16"/>
  <c r="T46" i="16" s="1"/>
  <c r="G10" i="24"/>
  <c r="S48" i="16" l="1"/>
  <c r="T48" i="16" s="1"/>
  <c r="N53" i="16"/>
  <c r="S53" i="16" s="1"/>
  <c r="T53" i="16" s="1"/>
  <c r="G17" i="24"/>
  <c r="G20" i="24" s="1"/>
  <c r="G33" i="24" s="1"/>
  <c r="F17" i="24"/>
  <c r="F20" i="24" s="1"/>
  <c r="F33" i="24" l="1"/>
  <c r="F34" i="24"/>
  <c r="G34" i="24" s="1"/>
</calcChain>
</file>

<file path=xl/sharedStrings.xml><?xml version="1.0" encoding="utf-8"?>
<sst xmlns="http://schemas.openxmlformats.org/spreadsheetml/2006/main" count="351" uniqueCount="168">
  <si>
    <t>R&amp;D</t>
  </si>
  <si>
    <t>G&amp;A</t>
  </si>
  <si>
    <t>Marketing Expenses</t>
  </si>
  <si>
    <t>Department</t>
  </si>
  <si>
    <t>Patent &amp; Trademark</t>
  </si>
  <si>
    <t>Salaries</t>
  </si>
  <si>
    <t>Total Office Expenses</t>
  </si>
  <si>
    <t>Total Legal &amp; Accounting Services</t>
  </si>
  <si>
    <t>R&amp;D Expenses</t>
  </si>
  <si>
    <t>Sales &amp; Marketing</t>
  </si>
  <si>
    <t>T&amp;E</t>
  </si>
  <si>
    <t>Total R&amp;D Expenses</t>
  </si>
  <si>
    <t>Total R&amp;D Cost</t>
  </si>
  <si>
    <t>Total G&amp;A</t>
  </si>
  <si>
    <t>Jan</t>
  </si>
  <si>
    <t>Feb</t>
  </si>
  <si>
    <t>Mar</t>
  </si>
  <si>
    <t>Apr</t>
  </si>
  <si>
    <t>May</t>
  </si>
  <si>
    <t>Jun</t>
  </si>
  <si>
    <t>Dollar rate</t>
  </si>
  <si>
    <t>Total Payroll</t>
  </si>
  <si>
    <t>Operating Expenses</t>
  </si>
  <si>
    <t>Audit &amp; Related</t>
  </si>
  <si>
    <t>Fixed Assets</t>
  </si>
  <si>
    <t>FA</t>
  </si>
  <si>
    <t>Hardware &amp; SW</t>
  </si>
  <si>
    <t>Furniture &amp; Equ</t>
  </si>
  <si>
    <t>Capital Expenditures</t>
  </si>
  <si>
    <t>Total Operating Expenses</t>
  </si>
  <si>
    <t>Professional services</t>
  </si>
  <si>
    <t>Total HC</t>
  </si>
  <si>
    <t>Sales</t>
  </si>
  <si>
    <t>Gross Profit</t>
  </si>
  <si>
    <t>COGS</t>
  </si>
  <si>
    <t>Cost of Revenues</t>
  </si>
  <si>
    <t>Total Cost of Revenues</t>
  </si>
  <si>
    <t>EBITDA</t>
  </si>
  <si>
    <t>On target Comm</t>
  </si>
  <si>
    <t>S&amp;M</t>
  </si>
  <si>
    <t>Total Payroll R&amp;D</t>
  </si>
  <si>
    <t>Total Payroll S&amp;M</t>
  </si>
  <si>
    <t>Total Payroll G&amp;A</t>
  </si>
  <si>
    <t>Head Count</t>
  </si>
  <si>
    <t>Local flight cost</t>
  </si>
  <si>
    <t>Flight abroad cost</t>
  </si>
  <si>
    <t>Total travel COGS</t>
  </si>
  <si>
    <t>Total travel R&amp;D</t>
  </si>
  <si>
    <t>Total travel S&amp;M</t>
  </si>
  <si>
    <t>Total travel G&amp;A</t>
  </si>
  <si>
    <t>Total travel</t>
  </si>
  <si>
    <t>Consultant &amp; Subcontructors</t>
  </si>
  <si>
    <t>Travel &amp; Entertainment</t>
  </si>
  <si>
    <t>Total R&amp;D Consultant &amp; subcontractors</t>
  </si>
  <si>
    <t>Comp. &amp; SW for new Employee</t>
  </si>
  <si>
    <t>Furniture for new employee</t>
  </si>
  <si>
    <t>per employee</t>
  </si>
  <si>
    <t>Employer cost</t>
  </si>
  <si>
    <t>Total Head Count IL</t>
  </si>
  <si>
    <t>Total Head Count US</t>
  </si>
  <si>
    <t>Equ for new employee</t>
  </si>
  <si>
    <t>Total Fixed assets</t>
  </si>
  <si>
    <t>Office costs</t>
  </si>
  <si>
    <t>Allocation of Overhead</t>
  </si>
  <si>
    <t>Total S&amp;M Cost</t>
  </si>
  <si>
    <t xml:space="preserve">Budget reserve </t>
  </si>
  <si>
    <t>Salary Overhead</t>
  </si>
  <si>
    <t xml:space="preserve">R&amp;D </t>
  </si>
  <si>
    <t xml:space="preserve">S&amp;M </t>
  </si>
  <si>
    <t>Ave' Gross Monthly Burn Rate</t>
  </si>
  <si>
    <t>Cash &amp; B.R</t>
  </si>
  <si>
    <t>Total Hosting &amp; exchange fee</t>
  </si>
  <si>
    <t>Jul</t>
  </si>
  <si>
    <t>Aug</t>
  </si>
  <si>
    <t>Sep</t>
  </si>
  <si>
    <t>Oct</t>
  </si>
  <si>
    <t>Nov</t>
  </si>
  <si>
    <t>Dec</t>
  </si>
  <si>
    <t>Budget</t>
  </si>
  <si>
    <t>Other Office cost (maintenance, supplies …)</t>
  </si>
  <si>
    <t>Total</t>
  </si>
  <si>
    <t>Total Sales &amp; Marketing Expense</t>
  </si>
  <si>
    <t>Leasehold improvement</t>
  </si>
  <si>
    <t>Name</t>
  </si>
  <si>
    <t>(in 000 $)</t>
  </si>
  <si>
    <t>CEO</t>
  </si>
  <si>
    <t>Other</t>
  </si>
  <si>
    <t>Position</t>
  </si>
  <si>
    <t>Q1</t>
  </si>
  <si>
    <t>Q2</t>
  </si>
  <si>
    <t>Q3</t>
  </si>
  <si>
    <t>Q4</t>
  </si>
  <si>
    <t>Dep.</t>
  </si>
  <si>
    <t>Engineer</t>
  </si>
  <si>
    <t>IL</t>
  </si>
  <si>
    <t>US</t>
  </si>
  <si>
    <t>QA</t>
  </si>
  <si>
    <t>Monthly Base</t>
  </si>
  <si>
    <t>Sales commissions</t>
  </si>
  <si>
    <t>Total net burn rate</t>
  </si>
  <si>
    <t>Health plan</t>
  </si>
  <si>
    <t>Revenue increase rate</t>
  </si>
  <si>
    <t>Refunds</t>
  </si>
  <si>
    <t>Processing fees</t>
  </si>
  <si>
    <t>Public relations</t>
  </si>
  <si>
    <t>Conferences &amp; Exhibitions</t>
  </si>
  <si>
    <t>Other Marketing expenses</t>
  </si>
  <si>
    <t>Buffer</t>
  </si>
  <si>
    <t>Sales Manager</t>
  </si>
  <si>
    <t>Other (sw licenses, books...)</t>
  </si>
  <si>
    <t>Other Office cost (maintenance, electricity, supplies)</t>
  </si>
  <si>
    <t>Bookkeeping &amp; Payroll</t>
  </si>
  <si>
    <t>Fixed Assets ongiong costs</t>
  </si>
  <si>
    <t>Cash as of end of the month</t>
  </si>
  <si>
    <t>Investment</t>
  </si>
  <si>
    <t>Total Head Count S&amp;M</t>
  </si>
  <si>
    <t>Total Head Count R&amp;D</t>
  </si>
  <si>
    <t>Total Head Count G&amp;A</t>
  </si>
  <si>
    <t>Total Head Count by Department</t>
  </si>
  <si>
    <t>Total Head count by entity</t>
  </si>
  <si>
    <t>Head Count by department</t>
  </si>
  <si>
    <t>Net Burn Rate</t>
  </si>
  <si>
    <t>Annual</t>
  </si>
  <si>
    <t>Other fees</t>
  </si>
  <si>
    <t>IT -other</t>
  </si>
  <si>
    <t xml:space="preserve">Site bulding </t>
  </si>
  <si>
    <t xml:space="preserve">Hosting </t>
  </si>
  <si>
    <t>Monthly</t>
  </si>
  <si>
    <t>Compensation Overhead</t>
  </si>
  <si>
    <t>Business Development Manager</t>
  </si>
  <si>
    <t>Revenues</t>
  </si>
  <si>
    <t>Jira (Attlassian)</t>
  </si>
  <si>
    <t>Design</t>
  </si>
  <si>
    <t>Cash Balance end of period</t>
  </si>
  <si>
    <t>Ave' Net Monthly Burn Rate/(net income)</t>
  </si>
  <si>
    <t>Project Manager</t>
  </si>
  <si>
    <t>Inside Sales</t>
  </si>
  <si>
    <t>SEO</t>
  </si>
  <si>
    <t xml:space="preserve">PPC </t>
  </si>
  <si>
    <t>cold call</t>
  </si>
  <si>
    <t>Welfare</t>
  </si>
  <si>
    <t>Subcontractors direct cost</t>
  </si>
  <si>
    <t>Direct costs</t>
  </si>
  <si>
    <t>Operating Expenses (in 000$)</t>
  </si>
  <si>
    <t>Direct Costs</t>
  </si>
  <si>
    <t>R&amp;D Consultant &amp; subcontractors</t>
  </si>
  <si>
    <t>Office Expenses</t>
  </si>
  <si>
    <t>Professional  Services</t>
  </si>
  <si>
    <t>Professional Services</t>
  </si>
  <si>
    <t>Company Name</t>
  </si>
  <si>
    <t>Budget 2020</t>
  </si>
  <si>
    <t>Cash As of 31/12/2019</t>
  </si>
  <si>
    <t>CTO/VP R&amp;D</t>
  </si>
  <si>
    <t>VP Sales</t>
  </si>
  <si>
    <t>Total Payroll COGS</t>
  </si>
  <si>
    <t>Revenue</t>
  </si>
  <si>
    <t xml:space="preserve"> Sales &amp; Marketing Subcontractors</t>
  </si>
  <si>
    <t xml:space="preserve"> Sales &amp; Marketing Expenses</t>
  </si>
  <si>
    <t>Recurring revenue</t>
  </si>
  <si>
    <t>New Revenue SMB</t>
  </si>
  <si>
    <t>New Revenue  - New product</t>
  </si>
  <si>
    <t>New revenue Enterprise</t>
  </si>
  <si>
    <t>Total Head Count COGS</t>
  </si>
  <si>
    <t>Assumptions</t>
  </si>
  <si>
    <t>Quarterly</t>
  </si>
  <si>
    <t>Advertising, Marketing &amp; promotion (Google, Facebook ext.)</t>
  </si>
  <si>
    <t>Rent and related expenses (management fee, City hall taxes)</t>
  </si>
  <si>
    <t>Legal (incorporation, funding, corporate, options)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</si>
</sst>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&quot;₪&quot;\ * #,##0.00_ ;_ &quot;₪&quot;\ * \-#,##0.00_ ;_ &quot;₪&quot;\ * &quot;-&quot;??_ ;_ @_ "/>
    <numFmt numFmtId="165" formatCode="_ * #,##0.00_ ;_ * \-#,##0.00_ ;_ * &quot;-&quot;??_ ;_ @_ "/>
    <numFmt numFmtId="166" formatCode="_ * #,##0.0_ ;_ * \-#,##0.0_ ;_ * &quot;-&quot;??_ ;_ @_ "/>
    <numFmt numFmtId="167" formatCode="_ * #,##0_ ;_ * \-#,##0_ ;_ * &quot;-&quot;??_ ;_ @_ "/>
    <numFmt numFmtId="168" formatCode="&quot;₪&quot;\ #,##0"/>
    <numFmt numFmtId="169" formatCode="#,##0;\(#,##0\);&quot;-&quot;"/>
    <numFmt numFmtId="170" formatCode="#,##0.0;\(#,##0.0\);&quot;-&quot;"/>
    <numFmt numFmtId="171" formatCode="0.0"/>
    <numFmt numFmtId="172" formatCode="#,##0.0"/>
    <numFmt numFmtId="173" formatCode="[$$-409]#,##0"/>
    <numFmt numFmtId="174" formatCode="[$₪-40D]\ #,##0"/>
    <numFmt numFmtId="175" formatCode="&quot;$&quot;#,##0"/>
    <numFmt numFmtId="176" formatCode="#,##0;\(#,##0\)"/>
    <numFmt numFmtId="177" formatCode="#,##0;[Red]\(#,##0\)"/>
    <numFmt numFmtId="178" formatCode="#,##0.0;\(#,##0.0\)"/>
    <numFmt numFmtId="179" formatCode="0.0%"/>
    <numFmt numFmtId="180" formatCode="_([$$-409]* #,##0.00_);_([$$-409]* \(#,##0.00\);_([$$-409]* &quot;-&quot;??_);_(@_)"/>
    <numFmt numFmtId="181" formatCode="_([$$-409]* #,##0_);_([$$-409]* \(#,##0\);_([$$-409]* &quot;-&quot;??_);_(@_)"/>
    <numFmt numFmtId="182" formatCode="_(* #,##0_);_(* \(#,##0\);_(* &quot;-&quot;??_);_(@_)"/>
  </numFmts>
  <fonts count="31">
    <font>
      <sz val="10"/>
      <name val="Arial"/>
      <charset val="177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Tahoma"/>
      <family val="2"/>
    </font>
    <font>
      <sz val="8"/>
      <name val="Verdana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8"/>
      <color indexed="23"/>
      <name val="Verdana"/>
      <family val="2"/>
    </font>
    <font>
      <sz val="10"/>
      <name val="Arial"/>
      <family val="2"/>
    </font>
    <font>
      <sz val="16"/>
      <color indexed="9"/>
      <name val="Tahoma"/>
      <family val="2"/>
    </font>
    <font>
      <b/>
      <sz val="8"/>
      <color indexed="63"/>
      <name val="Verdana"/>
      <family val="2"/>
    </font>
    <font>
      <b/>
      <sz val="12"/>
      <name val="Arial"/>
      <family val="2"/>
    </font>
    <font>
      <b/>
      <sz val="18"/>
      <color indexed="62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0"/>
      <name val="Arial"/>
      <family val="2"/>
    </font>
    <font>
      <sz val="11"/>
      <color indexed="9"/>
      <name val="Calibri"/>
      <family val="2"/>
      <charset val="177"/>
    </font>
    <font>
      <sz val="11"/>
      <color indexed="8"/>
      <name val="Calibri"/>
      <family val="2"/>
      <charset val="177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3"/>
      <name val="Arial"/>
      <family val="2"/>
    </font>
    <font>
      <sz val="12"/>
      <name val="Times New Roman"/>
      <family val="1"/>
    </font>
    <font>
      <b/>
      <u/>
      <sz val="10"/>
      <name val="Arial"/>
      <family val="2"/>
    </font>
    <font>
      <b/>
      <sz val="10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rgb="FFF6DAC4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6">
    <xf numFmtId="0" fontId="0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7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9" borderId="0" applyNumberFormat="0" applyBorder="0" applyAlignment="0" applyProtection="0"/>
    <xf numFmtId="0" fontId="17" fillId="9" borderId="0" applyNumberFormat="0" applyBorder="0" applyAlignment="0" applyProtection="0"/>
    <xf numFmtId="37" fontId="4" fillId="10" borderId="1" applyBorder="0" applyProtection="0">
      <alignment vertical="center"/>
    </xf>
    <xf numFmtId="0" fontId="5" fillId="11" borderId="0" applyBorder="0">
      <alignment horizontal="left" vertical="center" indent="1"/>
    </xf>
    <xf numFmtId="165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37" fontId="6" fillId="16" borderId="2" applyBorder="0">
      <alignment horizontal="left" vertical="center" indent="1"/>
    </xf>
    <xf numFmtId="37" fontId="7" fillId="0" borderId="3">
      <alignment vertical="center"/>
    </xf>
    <xf numFmtId="0" fontId="7" fillId="12" borderId="4" applyNumberFormat="0">
      <alignment horizontal="left" vertical="top" indent="1"/>
    </xf>
    <xf numFmtId="0" fontId="7" fillId="10" borderId="0" applyBorder="0">
      <alignment horizontal="left" vertical="center" indent="1"/>
    </xf>
    <xf numFmtId="0" fontId="7" fillId="0" borderId="4" applyNumberFormat="0" applyFill="0">
      <alignment horizontal="centerContinuous" vertical="top"/>
    </xf>
    <xf numFmtId="0" fontId="8" fillId="10" borderId="5" applyNumberFormat="0" applyBorder="0">
      <alignment horizontal="left" vertical="center" indent="1"/>
    </xf>
    <xf numFmtId="0" fontId="9" fillId="17" borderId="0">
      <alignment horizontal="left" indent="1"/>
    </xf>
    <xf numFmtId="4" fontId="4" fillId="10" borderId="6" applyBorder="0">
      <alignment horizontal="left" vertical="center" indent="2"/>
    </xf>
    <xf numFmtId="0" fontId="10" fillId="0" borderId="0"/>
    <xf numFmtId="0" fontId="10" fillId="4" borderId="7" applyNumberFormat="0" applyFont="0" applyAlignment="0" applyProtection="0"/>
    <xf numFmtId="0" fontId="10" fillId="4" borderId="7" applyNumberFormat="0" applyFont="0" applyAlignment="0" applyProtection="0"/>
    <xf numFmtId="0" fontId="10" fillId="4" borderId="7" applyNumberFormat="0" applyFont="0" applyAlignment="0" applyProtection="0"/>
    <xf numFmtId="0" fontId="10" fillId="4" borderId="7" applyNumberFormat="0" applyFont="0" applyAlignment="0" applyProtection="0"/>
    <xf numFmtId="0" fontId="10" fillId="4" borderId="7" applyNumberFormat="0" applyFont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11" borderId="0">
      <alignment horizontal="left" indent="1"/>
    </xf>
    <xf numFmtId="0" fontId="14" fillId="0" borderId="0" applyNumberFormat="0" applyFill="0" applyBorder="0" applyAlignment="0" applyProtection="0"/>
    <xf numFmtId="0" fontId="12" fillId="11" borderId="0" applyBorder="0">
      <alignment horizontal="left" vertical="center" indent="1"/>
    </xf>
  </cellStyleXfs>
  <cellXfs count="483">
    <xf numFmtId="0" fontId="0" fillId="0" borderId="0" xfId="0"/>
    <xf numFmtId="0" fontId="2" fillId="0" borderId="9" xfId="40" applyFont="1" applyFill="1" applyBorder="1" applyAlignment="1">
      <alignment horizontal="left"/>
    </xf>
    <xf numFmtId="0" fontId="2" fillId="0" borderId="9" xfId="40" applyFont="1" applyFill="1" applyBorder="1" applyAlignment="1">
      <alignment horizontal="center"/>
    </xf>
    <xf numFmtId="174" fontId="2" fillId="0" borderId="9" xfId="40" applyNumberFormat="1" applyFont="1" applyFill="1" applyBorder="1" applyAlignment="1">
      <alignment horizontal="center"/>
    </xf>
    <xf numFmtId="0" fontId="2" fillId="0" borderId="10" xfId="40" applyFont="1" applyFill="1" applyBorder="1" applyAlignment="1">
      <alignment horizontal="left"/>
    </xf>
    <xf numFmtId="0" fontId="2" fillId="0" borderId="10" xfId="40" applyFont="1" applyFill="1" applyBorder="1" applyAlignment="1">
      <alignment horizontal="center"/>
    </xf>
    <xf numFmtId="174" fontId="2" fillId="0" borderId="10" xfId="40" applyNumberFormat="1" applyFont="1" applyFill="1" applyBorder="1" applyAlignment="1">
      <alignment horizontal="center"/>
    </xf>
    <xf numFmtId="175" fontId="10" fillId="0" borderId="8" xfId="40" applyNumberFormat="1" applyFont="1" applyFill="1" applyBorder="1" applyAlignment="1">
      <alignment horizontal="center"/>
    </xf>
    <xf numFmtId="38" fontId="22" fillId="0" borderId="0" xfId="40" applyNumberFormat="1" applyFont="1" applyFill="1" applyBorder="1" applyAlignment="1">
      <alignment horizontal="center"/>
    </xf>
    <xf numFmtId="0" fontId="2" fillId="0" borderId="8" xfId="40" applyFont="1" applyFill="1" applyBorder="1" applyAlignment="1">
      <alignment horizontal="center"/>
    </xf>
    <xf numFmtId="0" fontId="10" fillId="0" borderId="0" xfId="40" applyFont="1" applyFill="1" applyBorder="1" applyAlignment="1">
      <alignment horizontal="left"/>
    </xf>
    <xf numFmtId="169" fontId="13" fillId="0" borderId="0" xfId="0" applyNumberFormat="1" applyFont="1" applyFill="1" applyBorder="1" applyAlignment="1">
      <alignment vertical="top"/>
    </xf>
    <xf numFmtId="0" fontId="2" fillId="0" borderId="8" xfId="40" applyFont="1" applyFill="1" applyBorder="1"/>
    <xf numFmtId="0" fontId="10" fillId="0" borderId="0" xfId="0" applyNumberFormat="1" applyFont="1" applyFill="1" applyBorder="1" applyAlignment="1">
      <alignment horizontal="left" vertical="top" wrapText="1"/>
    </xf>
    <xf numFmtId="0" fontId="16" fillId="0" borderId="0" xfId="0" applyNumberFormat="1" applyFont="1" applyFill="1" applyBorder="1" applyAlignment="1">
      <alignment horizontal="left" vertical="top" wrapText="1"/>
    </xf>
    <xf numFmtId="0" fontId="16" fillId="0" borderId="0" xfId="0" applyNumberFormat="1" applyFont="1" applyFill="1" applyAlignment="1">
      <alignment horizontal="left" vertical="top" wrapText="1"/>
    </xf>
    <xf numFmtId="0" fontId="23" fillId="0" borderId="0" xfId="0" applyNumberFormat="1" applyFont="1" applyFill="1" applyBorder="1" applyAlignment="1">
      <alignment horizontal="left" vertical="top" wrapText="1"/>
    </xf>
    <xf numFmtId="0" fontId="23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10" fillId="0" borderId="0" xfId="0" applyNumberFormat="1" applyFont="1" applyFill="1" applyAlignment="1">
      <alignment horizontal="left" vertical="top" wrapText="1"/>
    </xf>
    <xf numFmtId="9" fontId="10" fillId="0" borderId="0" xfId="40" applyNumberFormat="1" applyFont="1" applyFill="1" applyBorder="1" applyAlignment="1">
      <alignment horizontal="center"/>
    </xf>
    <xf numFmtId="165" fontId="10" fillId="0" borderId="8" xfId="2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 vertical="top"/>
    </xf>
    <xf numFmtId="0" fontId="2" fillId="0" borderId="0" xfId="40" applyFont="1" applyFill="1"/>
    <xf numFmtId="0" fontId="2" fillId="0" borderId="6" xfId="40" applyFont="1" applyFill="1" applyBorder="1"/>
    <xf numFmtId="0" fontId="10" fillId="0" borderId="0" xfId="40" applyFont="1" applyFill="1"/>
    <xf numFmtId="0" fontId="10" fillId="0" borderId="8" xfId="40" applyFont="1" applyFill="1" applyBorder="1" applyAlignment="1">
      <alignment horizontal="center"/>
    </xf>
    <xf numFmtId="0" fontId="10" fillId="0" borderId="6" xfId="40" applyFont="1" applyFill="1" applyBorder="1" applyAlignment="1">
      <alignment horizontal="center"/>
    </xf>
    <xf numFmtId="0" fontId="10" fillId="0" borderId="11" xfId="40" applyFont="1" applyFill="1" applyBorder="1" applyAlignment="1">
      <alignment horizontal="center"/>
    </xf>
    <xf numFmtId="0" fontId="10" fillId="0" borderId="8" xfId="40" applyFont="1" applyFill="1" applyBorder="1" applyAlignment="1"/>
    <xf numFmtId="0" fontId="10" fillId="0" borderId="12" xfId="40" applyFont="1" applyFill="1" applyBorder="1" applyAlignment="1"/>
    <xf numFmtId="0" fontId="2" fillId="0" borderId="13" xfId="40" applyFont="1" applyFill="1" applyBorder="1"/>
    <xf numFmtId="0" fontId="2" fillId="0" borderId="14" xfId="40" applyFont="1" applyFill="1" applyBorder="1"/>
    <xf numFmtId="0" fontId="2" fillId="0" borderId="0" xfId="40" applyFont="1" applyFill="1" applyBorder="1" applyAlignment="1">
      <alignment horizontal="center"/>
    </xf>
    <xf numFmtId="0" fontId="2" fillId="0" borderId="9" xfId="40" applyFont="1" applyFill="1" applyBorder="1"/>
    <xf numFmtId="0" fontId="2" fillId="0" borderId="15" xfId="40" applyFont="1" applyFill="1" applyBorder="1"/>
    <xf numFmtId="0" fontId="2" fillId="0" borderId="6" xfId="40" applyFont="1" applyFill="1" applyBorder="1" applyAlignment="1">
      <alignment horizontal="left"/>
    </xf>
    <xf numFmtId="0" fontId="2" fillId="0" borderId="6" xfId="40" applyFont="1" applyFill="1" applyBorder="1" applyAlignment="1">
      <alignment horizontal="center"/>
    </xf>
    <xf numFmtId="174" fontId="2" fillId="0" borderId="6" xfId="40" applyNumberFormat="1" applyFont="1" applyFill="1" applyBorder="1" applyAlignment="1">
      <alignment horizontal="center"/>
    </xf>
    <xf numFmtId="165" fontId="2" fillId="0" borderId="0" xfId="40" applyNumberFormat="1" applyFont="1" applyFill="1"/>
    <xf numFmtId="169" fontId="10" fillId="0" borderId="0" xfId="0" applyNumberFormat="1" applyFont="1" applyFill="1"/>
    <xf numFmtId="169" fontId="20" fillId="0" borderId="0" xfId="0" applyNumberFormat="1" applyFont="1" applyFill="1"/>
    <xf numFmtId="169" fontId="10" fillId="0" borderId="0" xfId="0" applyNumberFormat="1" applyFont="1" applyFill="1" applyAlignment="1">
      <alignment horizontal="left"/>
    </xf>
    <xf numFmtId="169" fontId="2" fillId="0" borderId="0" xfId="0" applyNumberFormat="1" applyFont="1" applyFill="1" applyBorder="1" applyAlignment="1">
      <alignment wrapText="1"/>
    </xf>
    <xf numFmtId="169" fontId="10" fillId="0" borderId="0" xfId="0" applyNumberFormat="1" applyFont="1" applyFill="1" applyBorder="1"/>
    <xf numFmtId="169" fontId="20" fillId="0" borderId="0" xfId="0" applyNumberFormat="1" applyFont="1" applyFill="1" applyBorder="1"/>
    <xf numFmtId="169" fontId="10" fillId="0" borderId="8" xfId="0" applyNumberFormat="1" applyFont="1" applyFill="1" applyBorder="1"/>
    <xf numFmtId="170" fontId="10" fillId="0" borderId="8" xfId="21" applyNumberFormat="1" applyFont="1" applyFill="1" applyBorder="1"/>
    <xf numFmtId="169" fontId="19" fillId="0" borderId="16" xfId="0" applyNumberFormat="1" applyFont="1" applyFill="1" applyBorder="1" applyAlignment="1">
      <alignment wrapText="1"/>
    </xf>
    <xf numFmtId="169" fontId="20" fillId="0" borderId="17" xfId="0" applyNumberFormat="1" applyFont="1" applyFill="1" applyBorder="1"/>
    <xf numFmtId="170" fontId="2" fillId="0" borderId="17" xfId="21" applyNumberFormat="1" applyFont="1" applyFill="1" applyBorder="1"/>
    <xf numFmtId="169" fontId="19" fillId="0" borderId="0" xfId="0" applyNumberFormat="1" applyFont="1" applyFill="1" applyBorder="1" applyAlignment="1">
      <alignment wrapText="1"/>
    </xf>
    <xf numFmtId="170" fontId="2" fillId="0" borderId="0" xfId="21" applyNumberFormat="1" applyFont="1" applyFill="1" applyBorder="1"/>
    <xf numFmtId="170" fontId="20" fillId="0" borderId="0" xfId="21" applyNumberFormat="1" applyFont="1" applyFill="1" applyBorder="1"/>
    <xf numFmtId="169" fontId="20" fillId="0" borderId="8" xfId="0" applyNumberFormat="1" applyFont="1" applyFill="1" applyBorder="1"/>
    <xf numFmtId="169" fontId="20" fillId="0" borderId="18" xfId="0" applyNumberFormat="1" applyFont="1" applyFill="1" applyBorder="1" applyAlignment="1">
      <alignment wrapText="1"/>
    </xf>
    <xf numFmtId="169" fontId="2" fillId="0" borderId="16" xfId="0" applyNumberFormat="1" applyFont="1" applyFill="1" applyBorder="1" applyAlignment="1">
      <alignment wrapText="1"/>
    </xf>
    <xf numFmtId="169" fontId="10" fillId="0" borderId="17" xfId="0" applyNumberFormat="1" applyFont="1" applyFill="1" applyBorder="1"/>
    <xf numFmtId="170" fontId="19" fillId="0" borderId="17" xfId="21" applyNumberFormat="1" applyFont="1" applyFill="1" applyBorder="1"/>
    <xf numFmtId="169" fontId="20" fillId="0" borderId="0" xfId="0" applyNumberFormat="1" applyFont="1" applyFill="1" applyAlignment="1">
      <alignment wrapText="1"/>
    </xf>
    <xf numFmtId="171" fontId="20" fillId="0" borderId="8" xfId="21" applyNumberFormat="1" applyFont="1" applyFill="1" applyBorder="1"/>
    <xf numFmtId="170" fontId="20" fillId="0" borderId="11" xfId="21" applyNumberFormat="1" applyFont="1" applyFill="1" applyBorder="1"/>
    <xf numFmtId="169" fontId="20" fillId="0" borderId="19" xfId="0" applyNumberFormat="1" applyFont="1" applyFill="1" applyBorder="1"/>
    <xf numFmtId="169" fontId="10" fillId="0" borderId="20" xfId="0" applyNumberFormat="1" applyFont="1" applyFill="1" applyBorder="1"/>
    <xf numFmtId="169" fontId="10" fillId="0" borderId="0" xfId="0" applyNumberFormat="1" applyFont="1" applyFill="1" applyAlignment="1">
      <alignment wrapText="1"/>
    </xf>
    <xf numFmtId="0" fontId="19" fillId="0" borderId="0" xfId="40" applyFont="1" applyFill="1" applyBorder="1"/>
    <xf numFmtId="169" fontId="10" fillId="0" borderId="15" xfId="0" applyNumberFormat="1" applyFont="1" applyFill="1" applyBorder="1" applyAlignment="1">
      <alignment wrapText="1"/>
    </xf>
    <xf numFmtId="170" fontId="10" fillId="0" borderId="22" xfId="21" applyNumberFormat="1" applyFont="1" applyFill="1" applyBorder="1"/>
    <xf numFmtId="169" fontId="10" fillId="0" borderId="23" xfId="0" applyNumberFormat="1" applyFont="1" applyFill="1" applyBorder="1" applyAlignment="1">
      <alignment wrapText="1"/>
    </xf>
    <xf numFmtId="170" fontId="2" fillId="0" borderId="24" xfId="21" applyNumberFormat="1" applyFont="1" applyFill="1" applyBorder="1"/>
    <xf numFmtId="170" fontId="20" fillId="0" borderId="22" xfId="21" applyNumberFormat="1" applyFont="1" applyFill="1" applyBorder="1"/>
    <xf numFmtId="170" fontId="19" fillId="0" borderId="24" xfId="21" applyNumberFormat="1" applyFont="1" applyFill="1" applyBorder="1"/>
    <xf numFmtId="171" fontId="20" fillId="0" borderId="22" xfId="21" applyNumberFormat="1" applyFont="1" applyFill="1" applyBorder="1"/>
    <xf numFmtId="169" fontId="10" fillId="0" borderId="26" xfId="0" applyNumberFormat="1" applyFont="1" applyFill="1" applyBorder="1" applyAlignment="1">
      <alignment wrapText="1"/>
    </xf>
    <xf numFmtId="169" fontId="10" fillId="0" borderId="27" xfId="0" applyNumberFormat="1" applyFont="1" applyFill="1" applyBorder="1" applyAlignment="1">
      <alignment wrapText="1"/>
    </xf>
    <xf numFmtId="0" fontId="10" fillId="0" borderId="0" xfId="0" applyFont="1" applyFill="1"/>
    <xf numFmtId="0" fontId="20" fillId="0" borderId="0" xfId="0" applyFont="1" applyFill="1"/>
    <xf numFmtId="0" fontId="10" fillId="0" borderId="0" xfId="0" applyFont="1" applyFill="1" applyBorder="1"/>
    <xf numFmtId="0" fontId="10" fillId="0" borderId="28" xfId="0" applyFont="1" applyFill="1" applyBorder="1"/>
    <xf numFmtId="3" fontId="20" fillId="0" borderId="2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3" fontId="20" fillId="0" borderId="28" xfId="0" applyNumberFormat="1" applyFont="1" applyFill="1" applyBorder="1" applyAlignment="1">
      <alignment horizontal="right"/>
    </xf>
    <xf numFmtId="3" fontId="10" fillId="0" borderId="28" xfId="0" applyNumberFormat="1" applyFont="1" applyFill="1" applyBorder="1" applyAlignment="1">
      <alignment horizontal="right"/>
    </xf>
    <xf numFmtId="0" fontId="20" fillId="0" borderId="0" xfId="0" applyFont="1" applyFill="1" applyAlignment="1">
      <alignment horizontal="left"/>
    </xf>
    <xf numFmtId="169" fontId="2" fillId="0" borderId="1" xfId="0" applyNumberFormat="1" applyFont="1" applyFill="1" applyBorder="1" applyAlignment="1">
      <alignment horizontal="right"/>
    </xf>
    <xf numFmtId="169" fontId="2" fillId="0" borderId="6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left"/>
    </xf>
    <xf numFmtId="169" fontId="19" fillId="0" borderId="8" xfId="0" applyNumberFormat="1" applyFont="1" applyFill="1" applyBorder="1" applyAlignment="1">
      <alignment horizontal="right"/>
    </xf>
    <xf numFmtId="0" fontId="20" fillId="0" borderId="2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20" fillId="0" borderId="28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0" fillId="0" borderId="28" xfId="0" applyFont="1" applyFill="1" applyBorder="1" applyAlignment="1">
      <alignment horizontal="right"/>
    </xf>
    <xf numFmtId="1" fontId="10" fillId="0" borderId="2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" fontId="10" fillId="0" borderId="28" xfId="0" applyNumberFormat="1" applyFont="1" applyFill="1" applyBorder="1" applyAlignment="1">
      <alignment horizontal="right"/>
    </xf>
    <xf numFmtId="0" fontId="19" fillId="0" borderId="29" xfId="0" applyFont="1" applyFill="1" applyBorder="1" applyAlignment="1">
      <alignment horizontal="right"/>
    </xf>
    <xf numFmtId="0" fontId="19" fillId="0" borderId="30" xfId="0" applyFont="1" applyFill="1" applyBorder="1" applyAlignment="1">
      <alignment horizontal="right"/>
    </xf>
    <xf numFmtId="0" fontId="2" fillId="0" borderId="28" xfId="0" applyFont="1" applyFill="1" applyBorder="1" applyAlignment="1">
      <alignment horizontal="right"/>
    </xf>
    <xf numFmtId="169" fontId="19" fillId="0" borderId="6" xfId="0" applyNumberFormat="1" applyFont="1" applyFill="1" applyBorder="1" applyAlignment="1">
      <alignment horizontal="right"/>
    </xf>
    <xf numFmtId="169" fontId="2" fillId="0" borderId="8" xfId="0" applyNumberFormat="1" applyFont="1" applyFill="1" applyBorder="1" applyAlignment="1">
      <alignment horizontal="right"/>
    </xf>
    <xf numFmtId="176" fontId="10" fillId="0" borderId="0" xfId="0" applyNumberFormat="1" applyFont="1" applyFill="1" applyBorder="1"/>
    <xf numFmtId="167" fontId="10" fillId="0" borderId="0" xfId="0" applyNumberFormat="1" applyFont="1" applyFill="1"/>
    <xf numFmtId="169" fontId="2" fillId="0" borderId="0" xfId="0" applyNumberFormat="1" applyFont="1" applyFill="1" applyBorder="1" applyAlignment="1">
      <alignment horizontal="centerContinuous"/>
    </xf>
    <xf numFmtId="0" fontId="20" fillId="0" borderId="28" xfId="0" applyFont="1" applyFill="1" applyBorder="1"/>
    <xf numFmtId="0" fontId="13" fillId="0" borderId="0" xfId="0" applyFont="1" applyFill="1" applyBorder="1" applyAlignment="1">
      <alignment horizontal="left"/>
    </xf>
    <xf numFmtId="169" fontId="13" fillId="0" borderId="0" xfId="0" applyNumberFormat="1" applyFont="1" applyFill="1" applyBorder="1" applyAlignment="1">
      <alignment horizontal="left"/>
    </xf>
    <xf numFmtId="0" fontId="2" fillId="0" borderId="0" xfId="40" applyFont="1" applyFill="1" applyBorder="1"/>
    <xf numFmtId="0" fontId="2" fillId="0" borderId="0" xfId="40" applyFont="1" applyFill="1" applyBorder="1" applyAlignment="1">
      <alignment horizontal="left"/>
    </xf>
    <xf numFmtId="168" fontId="10" fillId="0" borderId="8" xfId="40" applyNumberFormat="1" applyFont="1" applyFill="1" applyBorder="1" applyAlignment="1">
      <alignment horizontal="center"/>
    </xf>
    <xf numFmtId="0" fontId="10" fillId="0" borderId="8" xfId="40" applyFont="1" applyFill="1" applyBorder="1"/>
    <xf numFmtId="0" fontId="10" fillId="0" borderId="8" xfId="40" applyFont="1" applyFill="1" applyBorder="1" applyAlignment="1">
      <alignment horizontal="left"/>
    </xf>
    <xf numFmtId="0" fontId="10" fillId="0" borderId="37" xfId="40" applyFont="1" applyFill="1" applyBorder="1"/>
    <xf numFmtId="0" fontId="10" fillId="0" borderId="38" xfId="40" applyFont="1" applyFill="1" applyBorder="1" applyAlignment="1">
      <alignment horizontal="left"/>
    </xf>
    <xf numFmtId="0" fontId="10" fillId="0" borderId="36" xfId="40" applyFont="1" applyFill="1" applyBorder="1" applyAlignment="1">
      <alignment horizontal="left"/>
    </xf>
    <xf numFmtId="0" fontId="10" fillId="0" borderId="12" xfId="40" applyFont="1" applyFill="1" applyBorder="1" applyAlignment="1">
      <alignment horizontal="center"/>
    </xf>
    <xf numFmtId="0" fontId="2" fillId="0" borderId="16" xfId="40" applyFont="1" applyFill="1" applyBorder="1" applyAlignment="1">
      <alignment horizontal="left"/>
    </xf>
    <xf numFmtId="0" fontId="2" fillId="0" borderId="3" xfId="40" applyFont="1" applyFill="1" applyBorder="1"/>
    <xf numFmtId="0" fontId="10" fillId="0" borderId="0" xfId="40" applyFont="1" applyFill="1" applyAlignment="1">
      <alignment horizontal="left"/>
    </xf>
    <xf numFmtId="0" fontId="10" fillId="0" borderId="0" xfId="40" applyFont="1" applyFill="1" applyAlignment="1">
      <alignment horizontal="center"/>
    </xf>
    <xf numFmtId="175" fontId="10" fillId="0" borderId="0" xfId="40" applyNumberFormat="1" applyFont="1" applyFill="1" applyAlignment="1">
      <alignment horizontal="center"/>
    </xf>
    <xf numFmtId="172" fontId="10" fillId="0" borderId="0" xfId="40" applyNumberFormat="1" applyFont="1" applyFill="1" applyAlignment="1"/>
    <xf numFmtId="166" fontId="10" fillId="0" borderId="0" xfId="40" applyNumberFormat="1" applyFont="1" applyFill="1"/>
    <xf numFmtId="0" fontId="10" fillId="0" borderId="0" xfId="40" applyFont="1" applyFill="1" applyBorder="1"/>
    <xf numFmtId="169" fontId="10" fillId="0" borderId="0" xfId="0" applyNumberFormat="1" applyFont="1" applyFill="1" applyAlignment="1"/>
    <xf numFmtId="0" fontId="2" fillId="0" borderId="40" xfId="0" applyFont="1" applyFill="1" applyBorder="1"/>
    <xf numFmtId="176" fontId="2" fillId="0" borderId="6" xfId="0" applyNumberFormat="1" applyFont="1" applyFill="1" applyBorder="1"/>
    <xf numFmtId="176" fontId="2" fillId="0" borderId="21" xfId="0" applyNumberFormat="1" applyFont="1" applyFill="1" applyBorder="1"/>
    <xf numFmtId="0" fontId="10" fillId="0" borderId="44" xfId="0" applyFont="1" applyFill="1" applyBorder="1"/>
    <xf numFmtId="0" fontId="10" fillId="0" borderId="45" xfId="0" applyFont="1" applyFill="1" applyBorder="1"/>
    <xf numFmtId="0" fontId="10" fillId="0" borderId="34" xfId="0" applyFont="1" applyFill="1" applyBorder="1" applyAlignment="1">
      <alignment horizontal="center"/>
    </xf>
    <xf numFmtId="0" fontId="10" fillId="0" borderId="41" xfId="0" applyFont="1" applyFill="1" applyBorder="1" applyAlignment="1">
      <alignment horizontal="center"/>
    </xf>
    <xf numFmtId="176" fontId="10" fillId="0" borderId="46" xfId="0" applyNumberFormat="1" applyFont="1" applyFill="1" applyBorder="1"/>
    <xf numFmtId="166" fontId="10" fillId="0" borderId="0" xfId="21" applyNumberFormat="1" applyFont="1" applyFill="1" applyBorder="1" applyAlignment="1">
      <alignment horizontal="center"/>
    </xf>
    <xf numFmtId="166" fontId="10" fillId="0" borderId="46" xfId="21" applyNumberFormat="1" applyFont="1" applyFill="1" applyBorder="1" applyAlignment="1">
      <alignment horizontal="center"/>
    </xf>
    <xf numFmtId="167" fontId="10" fillId="0" borderId="43" xfId="21" applyNumberFormat="1" applyFont="1" applyFill="1" applyBorder="1" applyAlignment="1">
      <alignment horizontal="center"/>
    </xf>
    <xf numFmtId="167" fontId="10" fillId="0" borderId="34" xfId="21" applyNumberFormat="1" applyFont="1" applyFill="1" applyBorder="1" applyAlignment="1">
      <alignment horizontal="center"/>
    </xf>
    <xf numFmtId="167" fontId="10" fillId="0" borderId="41" xfId="21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left" vertical="top" wrapText="1"/>
    </xf>
    <xf numFmtId="175" fontId="2" fillId="0" borderId="9" xfId="40" applyNumberFormat="1" applyFont="1" applyFill="1" applyBorder="1" applyAlignment="1">
      <alignment horizontal="center"/>
    </xf>
    <xf numFmtId="166" fontId="2" fillId="0" borderId="49" xfId="21" applyNumberFormat="1" applyFont="1" applyFill="1" applyBorder="1" applyAlignment="1"/>
    <xf numFmtId="175" fontId="2" fillId="0" borderId="10" xfId="40" applyNumberFormat="1" applyFont="1" applyFill="1" applyBorder="1" applyAlignment="1">
      <alignment horizontal="center"/>
    </xf>
    <xf numFmtId="166" fontId="2" fillId="0" borderId="19" xfId="21" applyNumberFormat="1" applyFont="1" applyFill="1" applyBorder="1" applyAlignment="1"/>
    <xf numFmtId="172" fontId="2" fillId="0" borderId="17" xfId="40" applyNumberFormat="1" applyFont="1" applyFill="1" applyBorder="1" applyAlignment="1"/>
    <xf numFmtId="166" fontId="10" fillId="0" borderId="8" xfId="21" applyNumberFormat="1" applyFont="1" applyFill="1" applyBorder="1" applyAlignment="1"/>
    <xf numFmtId="175" fontId="2" fillId="0" borderId="6" xfId="40" applyNumberFormat="1" applyFont="1" applyFill="1" applyBorder="1" applyAlignment="1">
      <alignment horizontal="center"/>
    </xf>
    <xf numFmtId="166" fontId="2" fillId="0" borderId="8" xfId="21" applyNumberFormat="1" applyFont="1" applyFill="1" applyBorder="1" applyAlignment="1"/>
    <xf numFmtId="172" fontId="2" fillId="0" borderId="0" xfId="40" applyNumberFormat="1" applyFont="1" applyFill="1" applyBorder="1" applyAlignment="1"/>
    <xf numFmtId="0" fontId="10" fillId="0" borderId="20" xfId="40" applyFont="1" applyFill="1" applyBorder="1" applyAlignment="1">
      <alignment horizontal="left"/>
    </xf>
    <xf numFmtId="0" fontId="10" fillId="0" borderId="20" xfId="40" applyFont="1" applyFill="1" applyBorder="1" applyAlignment="1">
      <alignment horizontal="center"/>
    </xf>
    <xf numFmtId="0" fontId="10" fillId="0" borderId="20" xfId="40" applyFont="1" applyFill="1" applyBorder="1" applyAlignment="1"/>
    <xf numFmtId="166" fontId="2" fillId="0" borderId="52" xfId="21" applyNumberFormat="1" applyFont="1" applyFill="1" applyBorder="1" applyAlignment="1"/>
    <xf numFmtId="166" fontId="2" fillId="0" borderId="22" xfId="21" applyNumberFormat="1" applyFont="1" applyFill="1" applyBorder="1" applyAlignment="1"/>
    <xf numFmtId="166" fontId="2" fillId="0" borderId="25" xfId="21" applyNumberFormat="1" applyFont="1" applyFill="1" applyBorder="1" applyAlignment="1"/>
    <xf numFmtId="170" fontId="19" fillId="0" borderId="48" xfId="21" applyNumberFormat="1" applyFont="1" applyFill="1" applyBorder="1"/>
    <xf numFmtId="170" fontId="2" fillId="0" borderId="48" xfId="21" applyNumberFormat="1" applyFont="1" applyFill="1" applyBorder="1"/>
    <xf numFmtId="170" fontId="10" fillId="0" borderId="46" xfId="21" applyNumberFormat="1" applyFont="1" applyFill="1" applyBorder="1"/>
    <xf numFmtId="166" fontId="10" fillId="0" borderId="0" xfId="21" applyNumberFormat="1" applyFont="1" applyFill="1"/>
    <xf numFmtId="167" fontId="10" fillId="0" borderId="0" xfId="21" applyNumberFormat="1" applyFont="1" applyFill="1" applyBorder="1" applyAlignment="1">
      <alignment horizontal="right"/>
    </xf>
    <xf numFmtId="169" fontId="10" fillId="0" borderId="12" xfId="0" applyNumberFormat="1" applyFont="1" applyFill="1" applyBorder="1" applyAlignment="1">
      <alignment wrapText="1"/>
    </xf>
    <xf numFmtId="169" fontId="10" fillId="0" borderId="53" xfId="0" applyNumberFormat="1" applyFont="1" applyFill="1" applyBorder="1" applyAlignment="1">
      <alignment wrapText="1"/>
    </xf>
    <xf numFmtId="170" fontId="19" fillId="0" borderId="54" xfId="21" applyNumberFormat="1" applyFont="1" applyFill="1" applyBorder="1"/>
    <xf numFmtId="170" fontId="20" fillId="0" borderId="40" xfId="21" applyNumberFormat="1" applyFont="1" applyFill="1" applyBorder="1"/>
    <xf numFmtId="170" fontId="19" fillId="0" borderId="47" xfId="21" applyNumberFormat="1" applyFont="1" applyFill="1" applyBorder="1"/>
    <xf numFmtId="170" fontId="2" fillId="0" borderId="47" xfId="21" applyNumberFormat="1" applyFont="1" applyFill="1" applyBorder="1"/>
    <xf numFmtId="170" fontId="2" fillId="0" borderId="54" xfId="21" applyNumberFormat="1" applyFont="1" applyFill="1" applyBorder="1"/>
    <xf numFmtId="174" fontId="10" fillId="0" borderId="8" xfId="40" applyNumberFormat="1" applyFont="1" applyFill="1" applyBorder="1" applyAlignment="1">
      <alignment horizontal="center"/>
    </xf>
    <xf numFmtId="166" fontId="2" fillId="0" borderId="20" xfId="21" applyNumberFormat="1" applyFont="1" applyFill="1" applyBorder="1" applyAlignment="1"/>
    <xf numFmtId="169" fontId="19" fillId="0" borderId="37" xfId="0" applyNumberFormat="1" applyFont="1" applyFill="1" applyBorder="1"/>
    <xf numFmtId="167" fontId="10" fillId="0" borderId="46" xfId="21" applyNumberFormat="1" applyFont="1" applyFill="1" applyBorder="1" applyAlignment="1">
      <alignment horizontal="center"/>
    </xf>
    <xf numFmtId="167" fontId="2" fillId="0" borderId="21" xfId="21" applyNumberFormat="1" applyFont="1" applyFill="1" applyBorder="1"/>
    <xf numFmtId="167" fontId="10" fillId="0" borderId="46" xfId="21" applyNumberFormat="1" applyFont="1" applyFill="1" applyBorder="1"/>
    <xf numFmtId="166" fontId="10" fillId="0" borderId="46" xfId="0" applyNumberFormat="1" applyFont="1" applyFill="1" applyBorder="1" applyAlignment="1">
      <alignment horizontal="center"/>
    </xf>
    <xf numFmtId="0" fontId="0" fillId="0" borderId="0" xfId="0" applyFill="1"/>
    <xf numFmtId="181" fontId="2" fillId="0" borderId="0" xfId="28" applyNumberFormat="1" applyFont="1" applyFill="1" applyAlignment="1">
      <alignment horizontal="left" vertical="top" wrapText="1"/>
    </xf>
    <xf numFmtId="167" fontId="10" fillId="0" borderId="51" xfId="21" applyNumberFormat="1" applyFont="1" applyFill="1" applyBorder="1" applyAlignment="1">
      <alignment horizontal="center"/>
    </xf>
    <xf numFmtId="0" fontId="2" fillId="0" borderId="0" xfId="0" applyFont="1" applyFill="1"/>
    <xf numFmtId="170" fontId="10" fillId="0" borderId="11" xfId="21" applyNumberFormat="1" applyFont="1" applyFill="1" applyBorder="1"/>
    <xf numFmtId="170" fontId="20" fillId="0" borderId="8" xfId="21" applyNumberFormat="1" applyFont="1" applyFill="1" applyBorder="1"/>
    <xf numFmtId="170" fontId="20" fillId="0" borderId="1" xfId="21" applyNumberFormat="1" applyFont="1" applyFill="1" applyBorder="1"/>
    <xf numFmtId="170" fontId="20" fillId="0" borderId="32" xfId="21" applyNumberFormat="1" applyFont="1" applyFill="1" applyBorder="1"/>
    <xf numFmtId="170" fontId="20" fillId="0" borderId="18" xfId="21" applyNumberFormat="1" applyFont="1" applyFill="1" applyBorder="1"/>
    <xf numFmtId="170" fontId="10" fillId="0" borderId="6" xfId="21" applyNumberFormat="1" applyFont="1" applyFill="1" applyBorder="1"/>
    <xf numFmtId="170" fontId="10" fillId="0" borderId="1" xfId="21" applyNumberFormat="1" applyFont="1" applyFill="1" applyBorder="1"/>
    <xf numFmtId="170" fontId="10" fillId="0" borderId="12" xfId="21" applyNumberFormat="1" applyFont="1" applyFill="1" applyBorder="1"/>
    <xf numFmtId="170" fontId="10" fillId="0" borderId="36" xfId="21" applyNumberFormat="1" applyFont="1" applyFill="1" applyBorder="1"/>
    <xf numFmtId="170" fontId="20" fillId="0" borderId="19" xfId="21" applyNumberFormat="1" applyFont="1" applyFill="1" applyBorder="1"/>
    <xf numFmtId="0" fontId="28" fillId="0" borderId="0" xfId="0" applyFont="1" applyAlignment="1">
      <alignment horizontal="right" vertical="center" readingOrder="2"/>
    </xf>
    <xf numFmtId="176" fontId="10" fillId="0" borderId="0" xfId="0" applyNumberFormat="1" applyFont="1" applyFill="1"/>
    <xf numFmtId="169" fontId="10" fillId="0" borderId="55" xfId="0" applyNumberFormat="1" applyFont="1" applyFill="1" applyBorder="1" applyAlignment="1">
      <alignment wrapText="1"/>
    </xf>
    <xf numFmtId="170" fontId="10" fillId="0" borderId="20" xfId="21" applyNumberFormat="1" applyFont="1" applyFill="1" applyBorder="1"/>
    <xf numFmtId="170" fontId="10" fillId="0" borderId="56" xfId="21" applyNumberFormat="1" applyFont="1" applyFill="1" applyBorder="1"/>
    <xf numFmtId="169" fontId="20" fillId="0" borderId="55" xfId="0" applyNumberFormat="1" applyFont="1" applyFill="1" applyBorder="1" applyAlignment="1">
      <alignment wrapText="1"/>
    </xf>
    <xf numFmtId="169" fontId="20" fillId="0" borderId="20" xfId="0" applyNumberFormat="1" applyFont="1" applyFill="1" applyBorder="1"/>
    <xf numFmtId="170" fontId="20" fillId="0" borderId="20" xfId="21" applyNumberFormat="1" applyFont="1" applyFill="1" applyBorder="1"/>
    <xf numFmtId="170" fontId="20" fillId="0" borderId="56" xfId="21" applyNumberFormat="1" applyFont="1" applyFill="1" applyBorder="1"/>
    <xf numFmtId="171" fontId="20" fillId="0" borderId="20" xfId="21" applyNumberFormat="1" applyFont="1" applyFill="1" applyBorder="1"/>
    <xf numFmtId="171" fontId="20" fillId="0" borderId="56" xfId="21" applyNumberFormat="1" applyFont="1" applyFill="1" applyBorder="1"/>
    <xf numFmtId="171" fontId="20" fillId="0" borderId="57" xfId="21" applyNumberFormat="1" applyFont="1" applyFill="1" applyBorder="1"/>
    <xf numFmtId="170" fontId="10" fillId="0" borderId="31" xfId="21" applyNumberFormat="1" applyFont="1" applyFill="1" applyBorder="1"/>
    <xf numFmtId="170" fontId="20" fillId="0" borderId="58" xfId="21" applyNumberFormat="1" applyFont="1" applyFill="1" applyBorder="1"/>
    <xf numFmtId="170" fontId="10" fillId="0" borderId="29" xfId="21" applyNumberFormat="1" applyFont="1" applyFill="1" applyBorder="1"/>
    <xf numFmtId="170" fontId="10" fillId="0" borderId="58" xfId="21" applyNumberFormat="1" applyFont="1" applyFill="1" applyBorder="1"/>
    <xf numFmtId="170" fontId="10" fillId="0" borderId="30" xfId="21" applyNumberFormat="1" applyFont="1" applyFill="1" applyBorder="1"/>
    <xf numFmtId="0" fontId="26" fillId="0" borderId="0" xfId="0" applyNumberFormat="1" applyFont="1" applyFill="1" applyAlignment="1">
      <alignment horizontal="left" vertical="top" wrapText="1"/>
    </xf>
    <xf numFmtId="0" fontId="29" fillId="0" borderId="6" xfId="40" applyFont="1" applyFill="1" applyBorder="1" applyAlignment="1">
      <alignment horizontal="left"/>
    </xf>
    <xf numFmtId="0" fontId="20" fillId="0" borderId="60" xfId="0" applyFont="1" applyFill="1" applyBorder="1"/>
    <xf numFmtId="0" fontId="10" fillId="0" borderId="60" xfId="0" applyFont="1" applyFill="1" applyBorder="1"/>
    <xf numFmtId="0" fontId="10" fillId="0" borderId="43" xfId="0" applyFont="1" applyFill="1" applyBorder="1"/>
    <xf numFmtId="0" fontId="10" fillId="0" borderId="46" xfId="0" applyFont="1" applyFill="1" applyBorder="1"/>
    <xf numFmtId="0" fontId="2" fillId="0" borderId="60" xfId="0" applyFont="1" applyFill="1" applyBorder="1"/>
    <xf numFmtId="1" fontId="10" fillId="0" borderId="46" xfId="0" applyNumberFormat="1" applyFont="1" applyFill="1" applyBorder="1" applyAlignment="1">
      <alignment horizontal="right"/>
    </xf>
    <xf numFmtId="0" fontId="19" fillId="0" borderId="60" xfId="0" applyFont="1" applyFill="1" applyBorder="1"/>
    <xf numFmtId="1" fontId="10" fillId="0" borderId="62" xfId="0" applyNumberFormat="1" applyFont="1" applyFill="1" applyBorder="1" applyAlignment="1">
      <alignment horizontal="right"/>
    </xf>
    <xf numFmtId="3" fontId="20" fillId="0" borderId="46" xfId="0" applyNumberFormat="1" applyFont="1" applyFill="1" applyBorder="1" applyAlignment="1">
      <alignment horizontal="right"/>
    </xf>
    <xf numFmtId="0" fontId="2" fillId="0" borderId="15" xfId="0" applyFont="1" applyFill="1" applyBorder="1" applyAlignment="1">
      <alignment horizontal="left"/>
    </xf>
    <xf numFmtId="169" fontId="2" fillId="0" borderId="21" xfId="0" applyNumberFormat="1" applyFont="1" applyFill="1" applyBorder="1" applyAlignment="1">
      <alignment horizontal="right"/>
    </xf>
    <xf numFmtId="0" fontId="20" fillId="0" borderId="46" xfId="0" applyFont="1" applyFill="1" applyBorder="1" applyAlignment="1">
      <alignment horizontal="right"/>
    </xf>
    <xf numFmtId="0" fontId="10" fillId="0" borderId="46" xfId="0" applyFont="1" applyFill="1" applyBorder="1" applyAlignment="1">
      <alignment horizontal="right"/>
    </xf>
    <xf numFmtId="0" fontId="26" fillId="0" borderId="60" xfId="0" applyFont="1" applyFill="1" applyBorder="1" applyAlignment="1">
      <alignment horizontal="left"/>
    </xf>
    <xf numFmtId="0" fontId="19" fillId="0" borderId="57" xfId="0" applyFont="1" applyFill="1" applyBorder="1" applyAlignment="1">
      <alignment horizontal="right"/>
    </xf>
    <xf numFmtId="0" fontId="19" fillId="0" borderId="15" xfId="0" applyFont="1" applyFill="1" applyBorder="1" applyAlignment="1">
      <alignment horizontal="left"/>
    </xf>
    <xf numFmtId="169" fontId="19" fillId="0" borderId="21" xfId="0" applyNumberFormat="1" applyFont="1" applyFill="1" applyBorder="1" applyAlignment="1">
      <alignment horizontal="right"/>
    </xf>
    <xf numFmtId="0" fontId="2" fillId="0" borderId="63" xfId="0" applyFont="1" applyFill="1" applyBorder="1"/>
    <xf numFmtId="169" fontId="19" fillId="0" borderId="61" xfId="0" applyNumberFormat="1" applyFont="1" applyFill="1" applyBorder="1"/>
    <xf numFmtId="0" fontId="20" fillId="0" borderId="66" xfId="0" applyFont="1" applyFill="1" applyBorder="1"/>
    <xf numFmtId="0" fontId="20" fillId="0" borderId="62" xfId="0" applyFont="1" applyFill="1" applyBorder="1"/>
    <xf numFmtId="3" fontId="10" fillId="0" borderId="66" xfId="0" applyNumberFormat="1" applyFont="1" applyFill="1" applyBorder="1" applyAlignment="1">
      <alignment horizontal="right"/>
    </xf>
    <xf numFmtId="3" fontId="10" fillId="0" borderId="62" xfId="0" applyNumberFormat="1" applyFont="1" applyFill="1" applyBorder="1" applyAlignment="1">
      <alignment horizontal="right"/>
    </xf>
    <xf numFmtId="3" fontId="20" fillId="0" borderId="66" xfId="0" applyNumberFormat="1" applyFont="1" applyFill="1" applyBorder="1" applyAlignment="1">
      <alignment horizontal="right"/>
    </xf>
    <xf numFmtId="3" fontId="20" fillId="0" borderId="62" xfId="0" applyNumberFormat="1" applyFont="1" applyFill="1" applyBorder="1" applyAlignment="1">
      <alignment horizontal="right"/>
    </xf>
    <xf numFmtId="169" fontId="19" fillId="0" borderId="26" xfId="0" applyNumberFormat="1" applyFont="1" applyFill="1" applyBorder="1" applyAlignment="1">
      <alignment horizontal="right"/>
    </xf>
    <xf numFmtId="169" fontId="19" fillId="0" borderId="22" xfId="0" applyNumberFormat="1" applyFont="1" applyFill="1" applyBorder="1" applyAlignment="1">
      <alignment horizontal="right"/>
    </xf>
    <xf numFmtId="0" fontId="20" fillId="0" borderId="66" xfId="0" applyFont="1" applyFill="1" applyBorder="1" applyAlignment="1">
      <alignment horizontal="right"/>
    </xf>
    <xf numFmtId="0" fontId="20" fillId="0" borderId="62" xfId="0" applyFont="1" applyFill="1" applyBorder="1" applyAlignment="1">
      <alignment horizontal="right"/>
    </xf>
    <xf numFmtId="0" fontId="10" fillId="0" borderId="66" xfId="0" applyFont="1" applyFill="1" applyBorder="1" applyAlignment="1">
      <alignment horizontal="right"/>
    </xf>
    <xf numFmtId="0" fontId="10" fillId="0" borderId="62" xfId="0" applyFont="1" applyFill="1" applyBorder="1" applyAlignment="1">
      <alignment horizontal="right"/>
    </xf>
    <xf numFmtId="1" fontId="10" fillId="0" borderId="66" xfId="0" applyNumberFormat="1" applyFont="1" applyFill="1" applyBorder="1" applyAlignment="1">
      <alignment horizontal="right"/>
    </xf>
    <xf numFmtId="0" fontId="2" fillId="0" borderId="66" xfId="0" applyFont="1" applyFill="1" applyBorder="1" applyAlignment="1">
      <alignment horizontal="right"/>
    </xf>
    <xf numFmtId="0" fontId="2" fillId="0" borderId="62" xfId="0" applyFont="1" applyFill="1" applyBorder="1" applyAlignment="1">
      <alignment horizontal="right"/>
    </xf>
    <xf numFmtId="169" fontId="2" fillId="0" borderId="26" xfId="0" applyNumberFormat="1" applyFont="1" applyFill="1" applyBorder="1" applyAlignment="1">
      <alignment horizontal="right"/>
    </xf>
    <xf numFmtId="169" fontId="2" fillId="0" borderId="22" xfId="0" applyNumberFormat="1" applyFont="1" applyFill="1" applyBorder="1" applyAlignment="1">
      <alignment horizontal="right"/>
    </xf>
    <xf numFmtId="0" fontId="10" fillId="0" borderId="66" xfId="0" applyFont="1" applyFill="1" applyBorder="1"/>
    <xf numFmtId="0" fontId="10" fillId="0" borderId="62" xfId="0" applyFont="1" applyFill="1" applyBorder="1"/>
    <xf numFmtId="166" fontId="10" fillId="0" borderId="1" xfId="21" applyNumberFormat="1" applyFont="1" applyFill="1" applyBorder="1" applyAlignment="1"/>
    <xf numFmtId="166" fontId="2" fillId="0" borderId="1" xfId="21" applyNumberFormat="1" applyFont="1" applyFill="1" applyBorder="1" applyAlignment="1"/>
    <xf numFmtId="172" fontId="2" fillId="0" borderId="54" xfId="40" applyNumberFormat="1" applyFont="1" applyFill="1" applyBorder="1" applyAlignment="1"/>
    <xf numFmtId="172" fontId="2" fillId="0" borderId="47" xfId="40" applyNumberFormat="1" applyFont="1" applyFill="1" applyBorder="1" applyAlignment="1"/>
    <xf numFmtId="0" fontId="2" fillId="0" borderId="8" xfId="40" applyFont="1" applyFill="1" applyBorder="1" applyAlignment="1">
      <alignment horizontal="left"/>
    </xf>
    <xf numFmtId="174" fontId="2" fillId="0" borderId="8" xfId="40" applyNumberFormat="1" applyFont="1" applyFill="1" applyBorder="1" applyAlignment="1">
      <alignment horizontal="center"/>
    </xf>
    <xf numFmtId="175" fontId="2" fillId="0" borderId="8" xfId="40" applyNumberFormat="1" applyFont="1" applyFill="1" applyBorder="1" applyAlignment="1">
      <alignment horizontal="center"/>
    </xf>
    <xf numFmtId="0" fontId="2" fillId="0" borderId="27" xfId="40" applyFont="1" applyFill="1" applyBorder="1"/>
    <xf numFmtId="166" fontId="10" fillId="0" borderId="40" xfId="40" applyNumberFormat="1" applyFont="1" applyFill="1" applyBorder="1"/>
    <xf numFmtId="0" fontId="10" fillId="0" borderId="40" xfId="40" applyFont="1" applyFill="1" applyBorder="1"/>
    <xf numFmtId="166" fontId="2" fillId="0" borderId="40" xfId="40" applyNumberFormat="1" applyFont="1" applyFill="1" applyBorder="1"/>
    <xf numFmtId="0" fontId="2" fillId="0" borderId="12" xfId="40" applyFont="1" applyFill="1" applyBorder="1"/>
    <xf numFmtId="0" fontId="2" fillId="0" borderId="12" xfId="40" applyFont="1" applyFill="1" applyBorder="1" applyAlignment="1">
      <alignment horizontal="left"/>
    </xf>
    <xf numFmtId="0" fontId="2" fillId="0" borderId="12" xfId="40" applyFont="1" applyFill="1" applyBorder="1" applyAlignment="1">
      <alignment horizontal="center"/>
    </xf>
    <xf numFmtId="174" fontId="2" fillId="0" borderId="12" xfId="40" applyNumberFormat="1" applyFont="1" applyFill="1" applyBorder="1" applyAlignment="1">
      <alignment horizontal="center"/>
    </xf>
    <xf numFmtId="175" fontId="2" fillId="0" borderId="12" xfId="40" applyNumberFormat="1" applyFont="1" applyFill="1" applyBorder="1" applyAlignment="1">
      <alignment horizontal="center"/>
    </xf>
    <xf numFmtId="166" fontId="2" fillId="0" borderId="12" xfId="21" applyNumberFormat="1" applyFont="1" applyFill="1" applyBorder="1" applyAlignment="1"/>
    <xf numFmtId="166" fontId="2" fillId="0" borderId="36" xfId="21" applyNumberFormat="1" applyFont="1" applyFill="1" applyBorder="1" applyAlignment="1"/>
    <xf numFmtId="166" fontId="2" fillId="0" borderId="68" xfId="40" applyNumberFormat="1" applyFont="1" applyFill="1" applyBorder="1"/>
    <xf numFmtId="0" fontId="10" fillId="0" borderId="27" xfId="40" applyFont="1" applyFill="1" applyBorder="1"/>
    <xf numFmtId="0" fontId="10" fillId="0" borderId="56" xfId="40" applyFont="1" applyFill="1" applyBorder="1" applyAlignment="1"/>
    <xf numFmtId="0" fontId="10" fillId="0" borderId="15" xfId="40" applyFont="1" applyFill="1" applyBorder="1"/>
    <xf numFmtId="0" fontId="10" fillId="0" borderId="22" xfId="40" applyFont="1" applyFill="1" applyBorder="1" applyAlignment="1"/>
    <xf numFmtId="0" fontId="10" fillId="0" borderId="63" xfId="40" applyFont="1" applyFill="1" applyBorder="1"/>
    <xf numFmtId="0" fontId="10" fillId="0" borderId="67" xfId="40" applyFont="1" applyFill="1" applyBorder="1" applyAlignment="1"/>
    <xf numFmtId="0" fontId="2" fillId="0" borderId="63" xfId="40" applyFont="1" applyFill="1" applyBorder="1"/>
    <xf numFmtId="166" fontId="2" fillId="0" borderId="29" xfId="21" applyNumberFormat="1" applyFont="1" applyFill="1" applyBorder="1" applyAlignment="1"/>
    <xf numFmtId="166" fontId="10" fillId="0" borderId="58" xfId="40" applyNumberFormat="1" applyFont="1" applyFill="1" applyBorder="1"/>
    <xf numFmtId="166" fontId="10" fillId="0" borderId="68" xfId="40" applyNumberFormat="1" applyFont="1" applyFill="1" applyBorder="1"/>
    <xf numFmtId="0" fontId="10" fillId="0" borderId="30" xfId="40" applyFont="1" applyFill="1" applyBorder="1"/>
    <xf numFmtId="0" fontId="10" fillId="0" borderId="6" xfId="40" applyFont="1" applyFill="1" applyBorder="1"/>
    <xf numFmtId="173" fontId="10" fillId="0" borderId="8" xfId="0" applyNumberFormat="1" applyFont="1" applyFill="1" applyBorder="1" applyAlignment="1">
      <alignment horizontal="center" vertical="top" wrapText="1"/>
    </xf>
    <xf numFmtId="9" fontId="10" fillId="0" borderId="8" xfId="46" applyFont="1" applyFill="1" applyBorder="1" applyAlignment="1">
      <alignment horizontal="center" vertical="top" wrapText="1"/>
    </xf>
    <xf numFmtId="169" fontId="2" fillId="18" borderId="16" xfId="0" applyNumberFormat="1" applyFont="1" applyFill="1" applyBorder="1"/>
    <xf numFmtId="169" fontId="2" fillId="18" borderId="17" xfId="0" applyNumberFormat="1" applyFont="1" applyFill="1" applyBorder="1" applyAlignment="1">
      <alignment horizontal="center"/>
    </xf>
    <xf numFmtId="169" fontId="2" fillId="18" borderId="24" xfId="0" applyNumberFormat="1" applyFont="1" applyFill="1" applyBorder="1" applyAlignment="1">
      <alignment horizontal="center"/>
    </xf>
    <xf numFmtId="169" fontId="2" fillId="18" borderId="47" xfId="0" applyNumberFormat="1" applyFont="1" applyFill="1" applyBorder="1" applyAlignment="1">
      <alignment wrapText="1"/>
    </xf>
    <xf numFmtId="0" fontId="27" fillId="18" borderId="43" xfId="0" applyFont="1" applyFill="1" applyBorder="1" applyAlignment="1">
      <alignment horizontal="centerContinuous"/>
    </xf>
    <xf numFmtId="0" fontId="24" fillId="18" borderId="41" xfId="0" applyFont="1" applyFill="1" applyBorder="1" applyAlignment="1">
      <alignment horizontal="centerContinuous"/>
    </xf>
    <xf numFmtId="0" fontId="24" fillId="18" borderId="34" xfId="0" applyFont="1" applyFill="1" applyBorder="1" applyAlignment="1">
      <alignment horizontal="centerContinuous"/>
    </xf>
    <xf numFmtId="0" fontId="27" fillId="18" borderId="60" xfId="0" applyFont="1" applyFill="1" applyBorder="1" applyAlignment="1">
      <alignment horizontal="centerContinuous"/>
    </xf>
    <xf numFmtId="0" fontId="24" fillId="18" borderId="46" xfId="0" applyFont="1" applyFill="1" applyBorder="1" applyAlignment="1">
      <alignment horizontal="centerContinuous"/>
    </xf>
    <xf numFmtId="0" fontId="24" fillId="18" borderId="0" xfId="0" applyFont="1" applyFill="1" applyBorder="1" applyAlignment="1">
      <alignment horizontal="centerContinuous"/>
    </xf>
    <xf numFmtId="0" fontId="2" fillId="18" borderId="47" xfId="0" applyFont="1" applyFill="1" applyBorder="1"/>
    <xf numFmtId="0" fontId="2" fillId="18" borderId="3" xfId="0" applyFont="1" applyFill="1" applyBorder="1" applyAlignment="1">
      <alignment horizontal="center"/>
    </xf>
    <xf numFmtId="0" fontId="2" fillId="18" borderId="48" xfId="0" applyFont="1" applyFill="1" applyBorder="1" applyAlignment="1">
      <alignment horizontal="center"/>
    </xf>
    <xf numFmtId="0" fontId="2" fillId="18" borderId="16" xfId="0" applyFont="1" applyFill="1" applyBorder="1"/>
    <xf numFmtId="169" fontId="2" fillId="18" borderId="3" xfId="0" applyNumberFormat="1" applyFont="1" applyFill="1" applyBorder="1"/>
    <xf numFmtId="169" fontId="2" fillId="18" borderId="48" xfId="0" applyNumberFormat="1" applyFont="1" applyFill="1" applyBorder="1"/>
    <xf numFmtId="169" fontId="2" fillId="18" borderId="64" xfId="0" applyNumberFormat="1" applyFont="1" applyFill="1" applyBorder="1"/>
    <xf numFmtId="169" fontId="2" fillId="18" borderId="17" xfId="0" applyNumberFormat="1" applyFont="1" applyFill="1" applyBorder="1"/>
    <xf numFmtId="169" fontId="2" fillId="18" borderId="24" xfId="0" applyNumberFormat="1" applyFont="1" applyFill="1" applyBorder="1"/>
    <xf numFmtId="167" fontId="2" fillId="18" borderId="48" xfId="21" applyNumberFormat="1" applyFont="1" applyFill="1" applyBorder="1" applyAlignment="1">
      <alignment horizontal="right"/>
    </xf>
    <xf numFmtId="169" fontId="2" fillId="18" borderId="16" xfId="0" applyNumberFormat="1" applyFont="1" applyFill="1" applyBorder="1" applyAlignment="1">
      <alignment wrapText="1"/>
    </xf>
    <xf numFmtId="169" fontId="2" fillId="18" borderId="59" xfId="0" applyNumberFormat="1" applyFont="1" applyFill="1" applyBorder="1" applyAlignment="1">
      <alignment wrapText="1"/>
    </xf>
    <xf numFmtId="169" fontId="2" fillId="18" borderId="17" xfId="0" applyNumberFormat="1" applyFont="1" applyFill="1" applyBorder="1" applyAlignment="1">
      <alignment wrapText="1"/>
    </xf>
    <xf numFmtId="169" fontId="2" fillId="18" borderId="54" xfId="0" applyNumberFormat="1" applyFont="1" applyFill="1" applyBorder="1" applyAlignment="1">
      <alignment wrapText="1"/>
    </xf>
    <xf numFmtId="169" fontId="2" fillId="18" borderId="24" xfId="0" applyNumberFormat="1" applyFont="1" applyFill="1" applyBorder="1" applyAlignment="1">
      <alignment wrapText="1"/>
    </xf>
    <xf numFmtId="169" fontId="19" fillId="18" borderId="17" xfId="0" applyNumberFormat="1" applyFont="1" applyFill="1" applyBorder="1" applyAlignment="1">
      <alignment wrapText="1"/>
    </xf>
    <xf numFmtId="169" fontId="19" fillId="18" borderId="54" xfId="0" applyNumberFormat="1" applyFont="1" applyFill="1" applyBorder="1" applyAlignment="1">
      <alignment wrapText="1"/>
    </xf>
    <xf numFmtId="169" fontId="19" fillId="18" borderId="24" xfId="0" applyNumberFormat="1" applyFont="1" applyFill="1" applyBorder="1" applyAlignment="1">
      <alignment wrapText="1"/>
    </xf>
    <xf numFmtId="169" fontId="2" fillId="18" borderId="48" xfId="0" applyNumberFormat="1" applyFont="1" applyFill="1" applyBorder="1" applyAlignment="1">
      <alignment wrapText="1"/>
    </xf>
    <xf numFmtId="0" fontId="2" fillId="18" borderId="16" xfId="40" applyFont="1" applyFill="1" applyBorder="1"/>
    <xf numFmtId="169" fontId="2" fillId="18" borderId="3" xfId="0" applyNumberFormat="1" applyFont="1" applyFill="1" applyBorder="1" applyAlignment="1">
      <alignment wrapText="1"/>
    </xf>
    <xf numFmtId="0" fontId="2" fillId="18" borderId="13" xfId="40" applyFont="1" applyFill="1" applyBorder="1"/>
    <xf numFmtId="0" fontId="2" fillId="18" borderId="50" xfId="40" applyFont="1" applyFill="1" applyBorder="1"/>
    <xf numFmtId="0" fontId="2" fillId="18" borderId="9" xfId="40" applyFont="1" applyFill="1" applyBorder="1" applyAlignment="1">
      <alignment horizontal="left"/>
    </xf>
    <xf numFmtId="0" fontId="2" fillId="18" borderId="9" xfId="40" applyFont="1" applyFill="1" applyBorder="1" applyAlignment="1">
      <alignment horizontal="center"/>
    </xf>
    <xf numFmtId="0" fontId="2" fillId="18" borderId="9" xfId="40" applyFont="1" applyFill="1" applyBorder="1"/>
    <xf numFmtId="0" fontId="2" fillId="18" borderId="51" xfId="40" applyFont="1" applyFill="1" applyBorder="1"/>
    <xf numFmtId="0" fontId="2" fillId="18" borderId="39" xfId="40" applyFont="1" applyFill="1" applyBorder="1"/>
    <xf numFmtId="0" fontId="2" fillId="18" borderId="19" xfId="40" applyFont="1" applyFill="1" applyBorder="1"/>
    <xf numFmtId="0" fontId="2" fillId="18" borderId="19" xfId="40" applyFont="1" applyFill="1" applyBorder="1" applyAlignment="1">
      <alignment horizontal="left"/>
    </xf>
    <xf numFmtId="0" fontId="2" fillId="18" borderId="19" xfId="40" applyFont="1" applyFill="1" applyBorder="1" applyAlignment="1">
      <alignment horizontal="center"/>
    </xf>
    <xf numFmtId="169" fontId="2" fillId="18" borderId="19" xfId="0" applyNumberFormat="1" applyFont="1" applyFill="1" applyBorder="1" applyAlignment="1">
      <alignment wrapText="1"/>
    </xf>
    <xf numFmtId="169" fontId="2" fillId="18" borderId="25" xfId="0" applyNumberFormat="1" applyFont="1" applyFill="1" applyBorder="1" applyAlignment="1">
      <alignment wrapText="1"/>
    </xf>
    <xf numFmtId="0" fontId="2" fillId="18" borderId="16" xfId="40" applyFont="1" applyFill="1" applyBorder="1" applyAlignment="1">
      <alignment horizontal="left"/>
    </xf>
    <xf numFmtId="0" fontId="2" fillId="18" borderId="3" xfId="40" applyFont="1" applyFill="1" applyBorder="1"/>
    <xf numFmtId="0" fontId="2" fillId="18" borderId="3" xfId="40" applyFont="1" applyFill="1" applyBorder="1" applyAlignment="1">
      <alignment horizontal="left"/>
    </xf>
    <xf numFmtId="0" fontId="2" fillId="18" borderId="3" xfId="40" applyFont="1" applyFill="1" applyBorder="1" applyAlignment="1">
      <alignment horizontal="center"/>
    </xf>
    <xf numFmtId="0" fontId="30" fillId="18" borderId="3" xfId="40" applyFont="1" applyFill="1" applyBorder="1" applyAlignment="1">
      <alignment horizontal="center"/>
    </xf>
    <xf numFmtId="172" fontId="2" fillId="18" borderId="17" xfId="40" applyNumberFormat="1" applyFont="1" applyFill="1" applyBorder="1" applyAlignment="1"/>
    <xf numFmtId="172" fontId="2" fillId="18" borderId="24" xfId="40" applyNumberFormat="1" applyFont="1" applyFill="1" applyBorder="1" applyAlignment="1"/>
    <xf numFmtId="0" fontId="10" fillId="18" borderId="34" xfId="40" applyFont="1" applyFill="1" applyBorder="1"/>
    <xf numFmtId="0" fontId="10" fillId="18" borderId="34" xfId="40" applyFont="1" applyFill="1" applyBorder="1" applyAlignment="1">
      <alignment horizontal="left"/>
    </xf>
    <xf numFmtId="0" fontId="2" fillId="18" borderId="34" xfId="40" applyFont="1" applyFill="1" applyBorder="1" applyAlignment="1">
      <alignment horizontal="center"/>
    </xf>
    <xf numFmtId="0" fontId="2" fillId="18" borderId="34" xfId="40" applyFont="1" applyFill="1" applyBorder="1" applyAlignment="1">
      <alignment horizontal="center" wrapText="1"/>
    </xf>
    <xf numFmtId="169" fontId="2" fillId="18" borderId="35" xfId="0" applyNumberFormat="1" applyFont="1" applyFill="1" applyBorder="1" applyAlignment="1">
      <alignment wrapText="1"/>
    </xf>
    <xf numFmtId="169" fontId="2" fillId="18" borderId="33" xfId="0" applyNumberFormat="1" applyFont="1" applyFill="1" applyBorder="1" applyAlignment="1">
      <alignment wrapText="1"/>
    </xf>
    <xf numFmtId="169" fontId="2" fillId="18" borderId="44" xfId="0" applyNumberFormat="1" applyFont="1" applyFill="1" applyBorder="1" applyAlignment="1">
      <alignment wrapText="1"/>
    </xf>
    <xf numFmtId="0" fontId="2" fillId="18" borderId="64" xfId="40" applyFont="1" applyFill="1" applyBorder="1" applyAlignment="1">
      <alignment horizontal="left"/>
    </xf>
    <xf numFmtId="0" fontId="2" fillId="18" borderId="17" xfId="40" applyFont="1" applyFill="1" applyBorder="1"/>
    <xf numFmtId="0" fontId="2" fillId="18" borderId="17" xfId="40" applyFont="1" applyFill="1" applyBorder="1" applyAlignment="1">
      <alignment horizontal="left"/>
    </xf>
    <xf numFmtId="0" fontId="2" fillId="18" borderId="17" xfId="40" applyFont="1" applyFill="1" applyBorder="1" applyAlignment="1">
      <alignment horizontal="center"/>
    </xf>
    <xf numFmtId="172" fontId="2" fillId="18" borderId="54" xfId="40" applyNumberFormat="1" applyFont="1" applyFill="1" applyBorder="1" applyAlignment="1"/>
    <xf numFmtId="172" fontId="2" fillId="18" borderId="47" xfId="40" applyNumberFormat="1" applyFont="1" applyFill="1" applyBorder="1" applyAlignment="1"/>
    <xf numFmtId="0" fontId="10" fillId="18" borderId="43" xfId="40" applyFont="1" applyFill="1" applyBorder="1"/>
    <xf numFmtId="176" fontId="2" fillId="18" borderId="3" xfId="0" applyNumberFormat="1" applyFont="1" applyFill="1" applyBorder="1"/>
    <xf numFmtId="176" fontId="2" fillId="18" borderId="48" xfId="0" applyNumberFormat="1" applyFont="1" applyFill="1" applyBorder="1"/>
    <xf numFmtId="0" fontId="10" fillId="0" borderId="68" xfId="0" applyFont="1" applyFill="1" applyBorder="1"/>
    <xf numFmtId="176" fontId="10" fillId="0" borderId="63" xfId="0" applyNumberFormat="1" applyFont="1" applyFill="1" applyBorder="1"/>
    <xf numFmtId="176" fontId="10" fillId="0" borderId="37" xfId="0" applyNumberFormat="1" applyFont="1" applyFill="1" applyBorder="1"/>
    <xf numFmtId="176" fontId="10" fillId="0" borderId="68" xfId="0" applyNumberFormat="1" applyFont="1" applyFill="1" applyBorder="1"/>
    <xf numFmtId="177" fontId="2" fillId="18" borderId="48" xfId="0" applyNumberFormat="1" applyFont="1" applyFill="1" applyBorder="1"/>
    <xf numFmtId="178" fontId="2" fillId="18" borderId="3" xfId="0" applyNumberFormat="1" applyFont="1" applyFill="1" applyBorder="1" applyAlignment="1">
      <alignment horizontal="right"/>
    </xf>
    <xf numFmtId="178" fontId="2" fillId="18" borderId="48" xfId="0" applyNumberFormat="1" applyFont="1" applyFill="1" applyBorder="1" applyAlignment="1">
      <alignment horizontal="right"/>
    </xf>
    <xf numFmtId="0" fontId="2" fillId="0" borderId="65" xfId="40" applyFont="1" applyFill="1" applyBorder="1"/>
    <xf numFmtId="9" fontId="2" fillId="0" borderId="49" xfId="40" applyNumberFormat="1" applyFont="1" applyFill="1" applyBorder="1" applyAlignment="1">
      <alignment horizontal="center"/>
    </xf>
    <xf numFmtId="0" fontId="2" fillId="0" borderId="52" xfId="40" applyFont="1" applyFill="1" applyBorder="1" applyAlignment="1">
      <alignment horizontal="center"/>
    </xf>
    <xf numFmtId="0" fontId="10" fillId="0" borderId="26" xfId="0" applyNumberFormat="1" applyFont="1" applyFill="1" applyBorder="1" applyAlignment="1">
      <alignment horizontal="left" vertical="top" wrapText="1"/>
    </xf>
    <xf numFmtId="165" fontId="10" fillId="0" borderId="22" xfId="21" applyFont="1" applyFill="1" applyBorder="1" applyAlignment="1">
      <alignment horizontal="center"/>
    </xf>
    <xf numFmtId="10" fontId="10" fillId="0" borderId="22" xfId="46" applyNumberFormat="1" applyFont="1" applyFill="1" applyBorder="1" applyAlignment="1">
      <alignment horizontal="center" vertical="top" wrapText="1"/>
    </xf>
    <xf numFmtId="180" fontId="10" fillId="0" borderId="22" xfId="28" applyNumberFormat="1" applyFont="1" applyFill="1" applyBorder="1" applyAlignment="1">
      <alignment horizontal="center" vertical="top" wrapText="1"/>
    </xf>
    <xf numFmtId="9" fontId="10" fillId="0" borderId="22" xfId="46" applyFont="1" applyFill="1" applyBorder="1" applyAlignment="1">
      <alignment horizontal="center" vertical="top" wrapText="1"/>
    </xf>
    <xf numFmtId="173" fontId="10" fillId="0" borderId="22" xfId="0" applyNumberFormat="1" applyFont="1" applyFill="1" applyBorder="1" applyAlignment="1">
      <alignment horizontal="center" vertical="top" wrapText="1"/>
    </xf>
    <xf numFmtId="0" fontId="10" fillId="0" borderId="39" xfId="0" applyNumberFormat="1" applyFont="1" applyFill="1" applyBorder="1" applyAlignment="1">
      <alignment horizontal="left" vertical="top" wrapText="1"/>
    </xf>
    <xf numFmtId="0" fontId="20" fillId="0" borderId="2" xfId="0" applyFont="1" applyFill="1" applyBorder="1"/>
    <xf numFmtId="0" fontId="20" fillId="0" borderId="0" xfId="0" applyFont="1" applyFill="1" applyBorder="1"/>
    <xf numFmtId="0" fontId="20" fillId="0" borderId="46" xfId="0" applyFont="1" applyFill="1" applyBorder="1"/>
    <xf numFmtId="169" fontId="2" fillId="18" borderId="64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1" fontId="10" fillId="0" borderId="8" xfId="0" applyNumberFormat="1" applyFont="1" applyFill="1" applyBorder="1" applyAlignment="1">
      <alignment horizontal="right"/>
    </xf>
    <xf numFmtId="0" fontId="10" fillId="0" borderId="8" xfId="0" applyFont="1" applyFill="1" applyBorder="1"/>
    <xf numFmtId="3" fontId="10" fillId="0" borderId="8" xfId="0" applyNumberFormat="1" applyFont="1" applyFill="1" applyBorder="1" applyAlignment="1">
      <alignment horizontal="right"/>
    </xf>
    <xf numFmtId="3" fontId="20" fillId="0" borderId="8" xfId="0" applyNumberFormat="1" applyFont="1" applyFill="1" applyBorder="1" applyAlignment="1">
      <alignment horizontal="right"/>
    </xf>
    <xf numFmtId="1" fontId="10" fillId="0" borderId="8" xfId="0" applyNumberFormat="1" applyFont="1" applyFill="1" applyBorder="1"/>
    <xf numFmtId="167" fontId="10" fillId="0" borderId="8" xfId="21" applyNumberFormat="1" applyFont="1" applyFill="1" applyBorder="1" applyAlignment="1">
      <alignment horizontal="right"/>
    </xf>
    <xf numFmtId="169" fontId="10" fillId="0" borderId="8" xfId="0" applyNumberFormat="1" applyFont="1" applyFill="1" applyBorder="1" applyAlignment="1">
      <alignment horizontal="right"/>
    </xf>
    <xf numFmtId="169" fontId="2" fillId="0" borderId="8" xfId="0" applyNumberFormat="1" applyFont="1" applyFill="1" applyBorder="1"/>
    <xf numFmtId="1" fontId="19" fillId="0" borderId="8" xfId="0" applyNumberFormat="1" applyFont="1" applyFill="1" applyBorder="1" applyAlignment="1">
      <alignment horizontal="right"/>
    </xf>
    <xf numFmtId="1" fontId="2" fillId="0" borderId="8" xfId="0" applyNumberFormat="1" applyFont="1" applyFill="1" applyBorder="1" applyAlignment="1">
      <alignment horizontal="right"/>
    </xf>
    <xf numFmtId="167" fontId="2" fillId="0" borderId="8" xfId="21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3" fontId="2" fillId="0" borderId="26" xfId="0" applyNumberFormat="1" applyFont="1" applyFill="1" applyBorder="1" applyAlignment="1">
      <alignment horizontal="right"/>
    </xf>
    <xf numFmtId="3" fontId="2" fillId="0" borderId="22" xfId="0" applyNumberFormat="1" applyFont="1" applyFill="1" applyBorder="1" applyAlignment="1">
      <alignment horizontal="right"/>
    </xf>
    <xf numFmtId="3" fontId="20" fillId="0" borderId="26" xfId="0" applyNumberFormat="1" applyFont="1" applyFill="1" applyBorder="1" applyAlignment="1">
      <alignment horizontal="right"/>
    </xf>
    <xf numFmtId="3" fontId="20" fillId="0" borderId="22" xfId="0" applyNumberFormat="1" applyFont="1" applyFill="1" applyBorder="1" applyAlignment="1">
      <alignment horizontal="right"/>
    </xf>
    <xf numFmtId="1" fontId="10" fillId="0" borderId="26" xfId="0" applyNumberFormat="1" applyFont="1" applyFill="1" applyBorder="1" applyAlignment="1">
      <alignment horizontal="right"/>
    </xf>
    <xf numFmtId="1" fontId="10" fillId="0" borderId="22" xfId="0" applyNumberFormat="1" applyFont="1" applyFill="1" applyBorder="1" applyAlignment="1">
      <alignment horizontal="right"/>
    </xf>
    <xf numFmtId="3" fontId="10" fillId="0" borderId="26" xfId="0" applyNumberFormat="1" applyFont="1" applyFill="1" applyBorder="1" applyAlignment="1">
      <alignment horizontal="right"/>
    </xf>
    <xf numFmtId="167" fontId="10" fillId="0" borderId="22" xfId="21" applyNumberFormat="1" applyFont="1" applyFill="1" applyBorder="1" applyAlignment="1">
      <alignment horizontal="right"/>
    </xf>
    <xf numFmtId="1" fontId="10" fillId="0" borderId="26" xfId="0" applyNumberFormat="1" applyFont="1" applyFill="1" applyBorder="1"/>
    <xf numFmtId="1" fontId="10" fillId="0" borderId="22" xfId="0" applyNumberFormat="1" applyFont="1" applyFill="1" applyBorder="1"/>
    <xf numFmtId="169" fontId="10" fillId="0" borderId="26" xfId="0" applyNumberFormat="1" applyFont="1" applyFill="1" applyBorder="1" applyAlignment="1">
      <alignment horizontal="right"/>
    </xf>
    <xf numFmtId="169" fontId="10" fillId="0" borderId="22" xfId="0" applyNumberFormat="1" applyFont="1" applyFill="1" applyBorder="1" applyAlignment="1">
      <alignment horizontal="right"/>
    </xf>
    <xf numFmtId="1" fontId="2" fillId="0" borderId="26" xfId="0" applyNumberFormat="1" applyFont="1" applyFill="1" applyBorder="1" applyAlignment="1">
      <alignment horizontal="right"/>
    </xf>
    <xf numFmtId="167" fontId="2" fillId="0" borderId="22" xfId="21" applyNumberFormat="1" applyFont="1" applyFill="1" applyBorder="1" applyAlignment="1">
      <alignment horizontal="right"/>
    </xf>
    <xf numFmtId="169" fontId="2" fillId="0" borderId="26" xfId="0" applyNumberFormat="1" applyFont="1" applyFill="1" applyBorder="1"/>
    <xf numFmtId="169" fontId="2" fillId="0" borderId="22" xfId="0" applyNumberFormat="1" applyFont="1" applyFill="1" applyBorder="1"/>
    <xf numFmtId="167" fontId="10" fillId="0" borderId="26" xfId="21" applyNumberFormat="1" applyFont="1" applyFill="1" applyBorder="1" applyAlignment="1">
      <alignment horizontal="right"/>
    </xf>
    <xf numFmtId="0" fontId="2" fillId="0" borderId="26" xfId="0" applyFont="1" applyFill="1" applyBorder="1"/>
    <xf numFmtId="167" fontId="2" fillId="0" borderId="22" xfId="21" applyNumberFormat="1" applyFont="1" applyFill="1" applyBorder="1"/>
    <xf numFmtId="0" fontId="20" fillId="0" borderId="26" xfId="0" applyFont="1" applyFill="1" applyBorder="1"/>
    <xf numFmtId="0" fontId="10" fillId="0" borderId="26" xfId="0" applyFont="1" applyFill="1" applyBorder="1"/>
    <xf numFmtId="0" fontId="20" fillId="0" borderId="26" xfId="0" applyFont="1" applyFill="1" applyBorder="1" applyAlignment="1">
      <alignment horizontal="left"/>
    </xf>
    <xf numFmtId="3" fontId="10" fillId="0" borderId="22" xfId="0" applyNumberFormat="1" applyFont="1" applyFill="1" applyBorder="1" applyAlignment="1">
      <alignment horizontal="right"/>
    </xf>
    <xf numFmtId="0" fontId="10" fillId="0" borderId="26" xfId="0" applyFont="1" applyFill="1" applyBorder="1" applyAlignment="1">
      <alignment horizontal="left"/>
    </xf>
    <xf numFmtId="0" fontId="19" fillId="0" borderId="26" xfId="0" applyFont="1" applyFill="1" applyBorder="1" applyAlignment="1">
      <alignment horizontal="left"/>
    </xf>
    <xf numFmtId="1" fontId="19" fillId="0" borderId="22" xfId="0" applyNumberFormat="1" applyFont="1" applyFill="1" applyBorder="1" applyAlignment="1">
      <alignment horizontal="right"/>
    </xf>
    <xf numFmtId="0" fontId="10" fillId="18" borderId="16" xfId="0" applyFont="1" applyFill="1" applyBorder="1"/>
    <xf numFmtId="166" fontId="10" fillId="0" borderId="8" xfId="21" applyNumberFormat="1" applyFont="1" applyFill="1" applyBorder="1"/>
    <xf numFmtId="166" fontId="10" fillId="0" borderId="65" xfId="21" applyNumberFormat="1" applyFont="1" applyFill="1" applyBorder="1"/>
    <xf numFmtId="166" fontId="10" fillId="0" borderId="49" xfId="21" applyNumberFormat="1" applyFont="1" applyFill="1" applyBorder="1"/>
    <xf numFmtId="166" fontId="10" fillId="0" borderId="52" xfId="21" applyNumberFormat="1" applyFont="1" applyFill="1" applyBorder="1"/>
    <xf numFmtId="166" fontId="10" fillId="0" borderId="26" xfId="21" applyNumberFormat="1" applyFont="1" applyFill="1" applyBorder="1"/>
    <xf numFmtId="166" fontId="10" fillId="0" borderId="22" xfId="21" applyNumberFormat="1" applyFont="1" applyFill="1" applyBorder="1"/>
    <xf numFmtId="166" fontId="10" fillId="0" borderId="53" xfId="21" applyNumberFormat="1" applyFont="1" applyFill="1" applyBorder="1"/>
    <xf numFmtId="166" fontId="10" fillId="0" borderId="12" xfId="21" applyNumberFormat="1" applyFont="1" applyFill="1" applyBorder="1"/>
    <xf numFmtId="166" fontId="10" fillId="0" borderId="67" xfId="21" applyNumberFormat="1" applyFont="1" applyFill="1" applyBorder="1"/>
    <xf numFmtId="166" fontId="10" fillId="18" borderId="64" xfId="21" applyNumberFormat="1" applyFont="1" applyFill="1" applyBorder="1"/>
    <xf numFmtId="166" fontId="10" fillId="18" borderId="17" xfId="21" applyNumberFormat="1" applyFont="1" applyFill="1" applyBorder="1"/>
    <xf numFmtId="166" fontId="10" fillId="18" borderId="24" xfId="21" applyNumberFormat="1" applyFont="1" applyFill="1" applyBorder="1"/>
    <xf numFmtId="0" fontId="10" fillId="0" borderId="49" xfId="0" applyFont="1" applyFill="1" applyBorder="1"/>
    <xf numFmtId="0" fontId="10" fillId="0" borderId="52" xfId="0" applyFont="1" applyFill="1" applyBorder="1"/>
    <xf numFmtId="0" fontId="10" fillId="0" borderId="22" xfId="0" applyFont="1" applyFill="1" applyBorder="1"/>
    <xf numFmtId="0" fontId="10" fillId="0" borderId="12" xfId="0" applyFont="1" applyFill="1" applyBorder="1"/>
    <xf numFmtId="0" fontId="10" fillId="0" borderId="67" xfId="0" applyFont="1" applyFill="1" applyBorder="1"/>
    <xf numFmtId="170" fontId="10" fillId="0" borderId="69" xfId="21" applyNumberFormat="1" applyFont="1" applyFill="1" applyBorder="1"/>
    <xf numFmtId="170" fontId="10" fillId="0" borderId="40" xfId="21" applyNumberFormat="1" applyFont="1" applyFill="1" applyBorder="1"/>
    <xf numFmtId="169" fontId="1" fillId="0" borderId="15" xfId="0" applyNumberFormat="1" applyFont="1" applyFill="1" applyBorder="1" applyAlignment="1">
      <alignment wrapText="1"/>
    </xf>
    <xf numFmtId="169" fontId="1" fillId="0" borderId="55" xfId="0" applyNumberFormat="1" applyFont="1" applyFill="1" applyBorder="1" applyAlignment="1">
      <alignment wrapText="1"/>
    </xf>
    <xf numFmtId="170" fontId="10" fillId="0" borderId="57" xfId="21" applyNumberFormat="1" applyFont="1" applyFill="1" applyBorder="1"/>
    <xf numFmtId="169" fontId="2" fillId="18" borderId="43" xfId="0" applyNumberFormat="1" applyFont="1" applyFill="1" applyBorder="1"/>
    <xf numFmtId="169" fontId="2" fillId="18" borderId="34" xfId="0" applyNumberFormat="1" applyFont="1" applyFill="1" applyBorder="1"/>
    <xf numFmtId="169" fontId="2" fillId="18" borderId="35" xfId="0" applyNumberFormat="1" applyFont="1" applyFill="1" applyBorder="1" applyAlignment="1">
      <alignment horizontal="center"/>
    </xf>
    <xf numFmtId="169" fontId="2" fillId="18" borderId="70" xfId="0" applyNumberFormat="1" applyFont="1" applyFill="1" applyBorder="1" applyAlignment="1">
      <alignment horizontal="center"/>
    </xf>
    <xf numFmtId="0" fontId="2" fillId="18" borderId="23" xfId="0" applyFont="1" applyFill="1" applyBorder="1"/>
    <xf numFmtId="0" fontId="2" fillId="18" borderId="4" xfId="0" applyFont="1" applyFill="1" applyBorder="1"/>
    <xf numFmtId="167" fontId="2" fillId="18" borderId="4" xfId="21" applyNumberFormat="1" applyFont="1" applyFill="1" applyBorder="1"/>
    <xf numFmtId="182" fontId="2" fillId="18" borderId="4" xfId="21" applyNumberFormat="1" applyFont="1" applyFill="1" applyBorder="1"/>
    <xf numFmtId="167" fontId="2" fillId="18" borderId="42" xfId="21" applyNumberFormat="1" applyFont="1" applyFill="1" applyBorder="1" applyAlignment="1">
      <alignment horizontal="right"/>
    </xf>
    <xf numFmtId="167" fontId="20" fillId="0" borderId="8" xfId="21" applyNumberFormat="1" applyFont="1" applyFill="1" applyBorder="1"/>
    <xf numFmtId="182" fontId="20" fillId="0" borderId="8" xfId="21" applyNumberFormat="1" applyFont="1" applyFill="1" applyBorder="1"/>
    <xf numFmtId="0" fontId="27" fillId="18" borderId="23" xfId="0" applyFont="1" applyFill="1" applyBorder="1" applyAlignment="1">
      <alignment horizontal="center"/>
    </xf>
    <xf numFmtId="0" fontId="27" fillId="18" borderId="4" xfId="0" applyFont="1" applyFill="1" applyBorder="1" applyAlignment="1">
      <alignment horizontal="center"/>
    </xf>
    <xf numFmtId="0" fontId="27" fillId="18" borderId="42" xfId="0" applyFont="1" applyFill="1" applyBorder="1" applyAlignment="1">
      <alignment horizontal="center"/>
    </xf>
    <xf numFmtId="0" fontId="13" fillId="18" borderId="43" xfId="0" applyFont="1" applyFill="1" applyBorder="1" applyAlignment="1">
      <alignment horizontal="center"/>
    </xf>
    <xf numFmtId="0" fontId="13" fillId="18" borderId="34" xfId="0" applyFont="1" applyFill="1" applyBorder="1" applyAlignment="1">
      <alignment horizontal="center"/>
    </xf>
    <xf numFmtId="0" fontId="13" fillId="18" borderId="41" xfId="0" applyFont="1" applyFill="1" applyBorder="1" applyAlignment="1">
      <alignment horizontal="center"/>
    </xf>
    <xf numFmtId="169" fontId="13" fillId="18" borderId="23" xfId="0" applyNumberFormat="1" applyFont="1" applyFill="1" applyBorder="1" applyAlignment="1">
      <alignment horizontal="center"/>
    </xf>
    <xf numFmtId="169" fontId="13" fillId="18" borderId="4" xfId="0" applyNumberFormat="1" applyFont="1" applyFill="1" applyBorder="1" applyAlignment="1">
      <alignment horizontal="center"/>
    </xf>
    <xf numFmtId="169" fontId="13" fillId="18" borderId="42" xfId="0" applyNumberFormat="1" applyFont="1" applyFill="1" applyBorder="1" applyAlignment="1">
      <alignment horizontal="center"/>
    </xf>
    <xf numFmtId="0" fontId="2" fillId="18" borderId="16" xfId="0" applyFont="1" applyFill="1" applyBorder="1" applyAlignment="1">
      <alignment horizontal="center"/>
    </xf>
    <xf numFmtId="0" fontId="2" fillId="18" borderId="3" xfId="0" applyFont="1" applyFill="1" applyBorder="1" applyAlignment="1">
      <alignment horizontal="center"/>
    </xf>
    <xf numFmtId="0" fontId="2" fillId="18" borderId="48" xfId="0" applyFont="1" applyFill="1" applyBorder="1" applyAlignment="1">
      <alignment horizontal="center"/>
    </xf>
    <xf numFmtId="169" fontId="13" fillId="18" borderId="60" xfId="0" applyNumberFormat="1" applyFont="1" applyFill="1" applyBorder="1" applyAlignment="1">
      <alignment horizontal="center"/>
    </xf>
    <xf numFmtId="169" fontId="13" fillId="18" borderId="0" xfId="0" applyNumberFormat="1" applyFont="1" applyFill="1" applyBorder="1" applyAlignment="1">
      <alignment horizontal="center"/>
    </xf>
    <xf numFmtId="169" fontId="13" fillId="18" borderId="46" xfId="0" applyNumberFormat="1" applyFont="1" applyFill="1" applyBorder="1" applyAlignment="1">
      <alignment horizontal="center"/>
    </xf>
    <xf numFmtId="169" fontId="13" fillId="18" borderId="43" xfId="0" applyNumberFormat="1" applyFont="1" applyFill="1" applyBorder="1" applyAlignment="1">
      <alignment horizontal="center" wrapText="1"/>
    </xf>
    <xf numFmtId="169" fontId="13" fillId="18" borderId="34" xfId="0" applyNumberFormat="1" applyFont="1" applyFill="1" applyBorder="1" applyAlignment="1">
      <alignment horizontal="center" wrapText="1"/>
    </xf>
    <xf numFmtId="169" fontId="13" fillId="18" borderId="41" xfId="0" applyNumberFormat="1" applyFont="1" applyFill="1" applyBorder="1" applyAlignment="1">
      <alignment horizontal="center" wrapText="1"/>
    </xf>
    <xf numFmtId="169" fontId="13" fillId="18" borderId="60" xfId="0" applyNumberFormat="1" applyFont="1" applyFill="1" applyBorder="1" applyAlignment="1">
      <alignment horizontal="center" wrapText="1"/>
    </xf>
    <xf numFmtId="169" fontId="13" fillId="18" borderId="0" xfId="0" applyNumberFormat="1" applyFont="1" applyFill="1" applyBorder="1" applyAlignment="1">
      <alignment horizontal="center" wrapText="1"/>
    </xf>
    <xf numFmtId="169" fontId="13" fillId="18" borderId="46" xfId="0" applyNumberFormat="1" applyFont="1" applyFill="1" applyBorder="1" applyAlignment="1">
      <alignment horizontal="center" wrapText="1"/>
    </xf>
    <xf numFmtId="0" fontId="13" fillId="18" borderId="23" xfId="40" applyFont="1" applyFill="1" applyBorder="1" applyAlignment="1">
      <alignment horizontal="center"/>
    </xf>
    <xf numFmtId="0" fontId="13" fillId="18" borderId="4" xfId="40" applyFont="1" applyFill="1" applyBorder="1" applyAlignment="1">
      <alignment horizontal="center"/>
    </xf>
    <xf numFmtId="0" fontId="13" fillId="18" borderId="42" xfId="40" applyFont="1" applyFill="1" applyBorder="1" applyAlignment="1">
      <alignment horizontal="center"/>
    </xf>
    <xf numFmtId="0" fontId="13" fillId="18" borderId="43" xfId="0" applyNumberFormat="1" applyFont="1" applyFill="1" applyBorder="1" applyAlignment="1">
      <alignment horizontal="center" vertical="top" wrapText="1"/>
    </xf>
    <xf numFmtId="0" fontId="13" fillId="18" borderId="34" xfId="0" applyNumberFormat="1" applyFont="1" applyFill="1" applyBorder="1" applyAlignment="1">
      <alignment horizontal="center" vertical="top" wrapText="1"/>
    </xf>
    <xf numFmtId="0" fontId="13" fillId="18" borderId="41" xfId="0" applyNumberFormat="1" applyFont="1" applyFill="1" applyBorder="1" applyAlignment="1">
      <alignment horizontal="center" vertical="top" wrapText="1"/>
    </xf>
    <xf numFmtId="0" fontId="13" fillId="18" borderId="60" xfId="0" applyNumberFormat="1" applyFont="1" applyFill="1" applyBorder="1" applyAlignment="1">
      <alignment horizontal="center" vertical="top" wrapText="1"/>
    </xf>
    <xf numFmtId="0" fontId="13" fillId="18" borderId="0" xfId="0" applyNumberFormat="1" applyFont="1" applyFill="1" applyBorder="1" applyAlignment="1">
      <alignment horizontal="center" vertical="top" wrapText="1"/>
    </xf>
    <xf numFmtId="0" fontId="13" fillId="18" borderId="46" xfId="0" applyNumberFormat="1" applyFont="1" applyFill="1" applyBorder="1" applyAlignment="1">
      <alignment horizontal="center" vertical="top" wrapText="1"/>
    </xf>
    <xf numFmtId="169" fontId="13" fillId="18" borderId="23" xfId="0" applyNumberFormat="1" applyFont="1" applyFill="1" applyBorder="1" applyAlignment="1">
      <alignment horizontal="center" vertical="top"/>
    </xf>
    <xf numFmtId="169" fontId="13" fillId="18" borderId="4" xfId="0" applyNumberFormat="1" applyFont="1" applyFill="1" applyBorder="1" applyAlignment="1">
      <alignment horizontal="center" vertical="top"/>
    </xf>
    <xf numFmtId="169" fontId="13" fillId="18" borderId="42" xfId="0" applyNumberFormat="1" applyFont="1" applyFill="1" applyBorder="1" applyAlignment="1">
      <alignment horizontal="center" vertical="top"/>
    </xf>
    <xf numFmtId="9" fontId="10" fillId="0" borderId="1" xfId="21" applyNumberFormat="1" applyFont="1" applyFill="1" applyBorder="1" applyAlignment="1">
      <alignment horizontal="center"/>
    </xf>
    <xf numFmtId="165" fontId="10" fillId="0" borderId="21" xfId="21" applyFont="1" applyFill="1" applyBorder="1" applyAlignment="1">
      <alignment horizontal="center"/>
    </xf>
    <xf numFmtId="173" fontId="10" fillId="0" borderId="1" xfId="0" applyNumberFormat="1" applyFont="1" applyFill="1" applyBorder="1" applyAlignment="1">
      <alignment horizontal="center" vertical="top" wrapText="1"/>
    </xf>
    <xf numFmtId="173" fontId="10" fillId="0" borderId="21" xfId="0" applyNumberFormat="1" applyFont="1" applyFill="1" applyBorder="1" applyAlignment="1">
      <alignment horizontal="center" vertical="top" wrapText="1"/>
    </xf>
    <xf numFmtId="9" fontId="10" fillId="0" borderId="21" xfId="21" applyNumberFormat="1" applyFont="1" applyFill="1" applyBorder="1" applyAlignment="1">
      <alignment horizontal="center"/>
    </xf>
    <xf numFmtId="179" fontId="10" fillId="0" borderId="1" xfId="21" applyNumberFormat="1" applyFont="1" applyFill="1" applyBorder="1" applyAlignment="1">
      <alignment horizontal="center"/>
    </xf>
    <xf numFmtId="179" fontId="10" fillId="0" borderId="21" xfId="21" applyNumberFormat="1" applyFont="1" applyFill="1" applyBorder="1" applyAlignment="1">
      <alignment horizontal="center"/>
    </xf>
    <xf numFmtId="173" fontId="10" fillId="0" borderId="8" xfId="0" applyNumberFormat="1" applyFont="1" applyFill="1" applyBorder="1" applyAlignment="1">
      <alignment horizontal="center" vertical="top" wrapText="1"/>
    </xf>
    <xf numFmtId="173" fontId="10" fillId="0" borderId="22" xfId="0" applyNumberFormat="1" applyFont="1" applyFill="1" applyBorder="1" applyAlignment="1">
      <alignment horizontal="center" vertical="top" wrapText="1"/>
    </xf>
    <xf numFmtId="9" fontId="10" fillId="0" borderId="19" xfId="46" applyFont="1" applyFill="1" applyBorder="1" applyAlignment="1">
      <alignment horizontal="center" vertical="top" wrapText="1"/>
    </xf>
    <xf numFmtId="9" fontId="10" fillId="0" borderId="25" xfId="46" applyFont="1" applyFill="1" applyBorder="1" applyAlignment="1">
      <alignment horizontal="center" vertical="top" wrapText="1"/>
    </xf>
    <xf numFmtId="169" fontId="1" fillId="0" borderId="14" xfId="0" applyNumberFormat="1" applyFont="1" applyFill="1" applyBorder="1" applyAlignment="1">
      <alignment wrapText="1"/>
    </xf>
  </cellXfs>
  <cellStyles count="56">
    <cellStyle name="Accent1 - 20%" xfId="1" xr:uid="{00000000-0005-0000-0000-000000000000}"/>
    <cellStyle name="Accent1 - 40%" xfId="2" xr:uid="{00000000-0005-0000-0000-000001000000}"/>
    <cellStyle name="Accent1 - 60%" xfId="3" xr:uid="{00000000-0005-0000-0000-000002000000}"/>
    <cellStyle name="Accent2 - 20%" xfId="4" xr:uid="{00000000-0005-0000-0000-000003000000}"/>
    <cellStyle name="Accent2 - 40%" xfId="5" xr:uid="{00000000-0005-0000-0000-000004000000}"/>
    <cellStyle name="Accent2 - 60%" xfId="6" xr:uid="{00000000-0005-0000-0000-000005000000}"/>
    <cellStyle name="Accent3 - 20%" xfId="7" xr:uid="{00000000-0005-0000-0000-000006000000}"/>
    <cellStyle name="Accent3 - 40%" xfId="8" xr:uid="{00000000-0005-0000-0000-000007000000}"/>
    <cellStyle name="Accent3 - 60%" xfId="9" xr:uid="{00000000-0005-0000-0000-000008000000}"/>
    <cellStyle name="Accent4 - 20%" xfId="10" xr:uid="{00000000-0005-0000-0000-000009000000}"/>
    <cellStyle name="Accent4 - 40%" xfId="11" xr:uid="{00000000-0005-0000-0000-00000A000000}"/>
    <cellStyle name="Accent4 - 60%" xfId="12" xr:uid="{00000000-0005-0000-0000-00000B000000}"/>
    <cellStyle name="Accent5 - 20%" xfId="13" xr:uid="{00000000-0005-0000-0000-00000C000000}"/>
    <cellStyle name="Accent5 - 40%" xfId="14" xr:uid="{00000000-0005-0000-0000-00000D000000}"/>
    <cellStyle name="Accent5 - 60%" xfId="15" xr:uid="{00000000-0005-0000-0000-00000E000000}"/>
    <cellStyle name="Accent6 - 20%" xfId="16" xr:uid="{00000000-0005-0000-0000-00000F000000}"/>
    <cellStyle name="Accent6 - 40%" xfId="17" xr:uid="{00000000-0005-0000-0000-000010000000}"/>
    <cellStyle name="Accent6 - 60%" xfId="18" xr:uid="{00000000-0005-0000-0000-000011000000}"/>
    <cellStyle name="amount" xfId="19" xr:uid="{00000000-0005-0000-0000-000012000000}"/>
    <cellStyle name="Body text" xfId="20" xr:uid="{00000000-0005-0000-0000-000013000000}"/>
    <cellStyle name="Comma" xfId="21" builtinId="3"/>
    <cellStyle name="Comma 2" xfId="22" xr:uid="{00000000-0005-0000-0000-000015000000}"/>
    <cellStyle name="Comma 2 2" xfId="23" xr:uid="{00000000-0005-0000-0000-000016000000}"/>
    <cellStyle name="Comma 2 3" xfId="24" xr:uid="{00000000-0005-0000-0000-000017000000}"/>
    <cellStyle name="Comma 2 4" xfId="25" xr:uid="{00000000-0005-0000-0000-000018000000}"/>
    <cellStyle name="Comma 2 5" xfId="26" xr:uid="{00000000-0005-0000-0000-000019000000}"/>
    <cellStyle name="Comma 2 6" xfId="27" xr:uid="{00000000-0005-0000-0000-00001A000000}"/>
    <cellStyle name="Currency" xfId="28" builtinId="4"/>
    <cellStyle name="Emphasis 1" xfId="29" xr:uid="{00000000-0005-0000-0000-00001C000000}"/>
    <cellStyle name="Emphasis 2" xfId="30" xr:uid="{00000000-0005-0000-0000-00001D000000}"/>
    <cellStyle name="Emphasis 3" xfId="31" xr:uid="{00000000-0005-0000-0000-00001E000000}"/>
    <cellStyle name="header" xfId="32" xr:uid="{00000000-0005-0000-0000-00001F000000}"/>
    <cellStyle name="Header Total" xfId="33" xr:uid="{00000000-0005-0000-0000-000020000000}"/>
    <cellStyle name="Header1" xfId="34" xr:uid="{00000000-0005-0000-0000-000021000000}"/>
    <cellStyle name="Header2" xfId="35" xr:uid="{00000000-0005-0000-0000-000022000000}"/>
    <cellStyle name="Header3" xfId="36" xr:uid="{00000000-0005-0000-0000-000023000000}"/>
    <cellStyle name="Header4" xfId="37" xr:uid="{00000000-0005-0000-0000-000024000000}"/>
    <cellStyle name="NonPrint_Heading" xfId="38" xr:uid="{00000000-0005-0000-0000-000025000000}"/>
    <cellStyle name="Normal" xfId="0" builtinId="0"/>
    <cellStyle name="Normal 2" xfId="39" xr:uid="{00000000-0005-0000-0000-000027000000}"/>
    <cellStyle name="Normal_P&amp;L Data.v1.05" xfId="40" xr:uid="{00000000-0005-0000-0000-000028000000}"/>
    <cellStyle name="Note 2" xfId="41" xr:uid="{00000000-0005-0000-0000-000029000000}"/>
    <cellStyle name="Note 3" xfId="42" xr:uid="{00000000-0005-0000-0000-00002A000000}"/>
    <cellStyle name="Note 4" xfId="43" xr:uid="{00000000-0005-0000-0000-00002B000000}"/>
    <cellStyle name="Note 5" xfId="44" xr:uid="{00000000-0005-0000-0000-00002C000000}"/>
    <cellStyle name="Note 6" xfId="45" xr:uid="{00000000-0005-0000-0000-00002D000000}"/>
    <cellStyle name="Percent" xfId="46" builtinId="5"/>
    <cellStyle name="Percent 2" xfId="47" xr:uid="{00000000-0005-0000-0000-00002F000000}"/>
    <cellStyle name="Percent 2 2" xfId="48" xr:uid="{00000000-0005-0000-0000-000030000000}"/>
    <cellStyle name="Percent 2 3" xfId="49" xr:uid="{00000000-0005-0000-0000-000031000000}"/>
    <cellStyle name="Percent 2 4" xfId="50" xr:uid="{00000000-0005-0000-0000-000032000000}"/>
    <cellStyle name="Percent 2 5" xfId="51" xr:uid="{00000000-0005-0000-0000-000033000000}"/>
    <cellStyle name="Percent 2 6" xfId="52" xr:uid="{00000000-0005-0000-0000-000034000000}"/>
    <cellStyle name="Product Title" xfId="53" xr:uid="{00000000-0005-0000-0000-000035000000}"/>
    <cellStyle name="Sheet Title" xfId="54" xr:uid="{00000000-0005-0000-0000-000036000000}"/>
    <cellStyle name="Text" xfId="55" xr:uid="{00000000-0005-0000-0000-000037000000}"/>
  </cellStyles>
  <dxfs count="0"/>
  <tableStyles count="0" defaultTableStyle="TableStyleMedium9" defaultPivotStyle="PivotStyleLight16"/>
  <colors>
    <mruColors>
      <color rgb="FFF6DAC4"/>
      <color rgb="FFF6F2C4"/>
      <color rgb="FFCEE5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sng" strike="noStrike" baseline="0">
                <a:solidFill>
                  <a:srgbClr val="0033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Expenses Breakdown </a:t>
            </a:r>
          </a:p>
        </c:rich>
      </c:tx>
      <c:layout>
        <c:manualLayout>
          <c:xMode val="edge"/>
          <c:yMode val="edge"/>
          <c:x val="0.27605131325797388"/>
          <c:y val="3.87931034482758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DC-44E4-AB88-A6B61BB82CD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'Monthly P&amp;L'!#REF!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'Monthly P&amp;L'!#REF!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2DC-44E4-AB88-A6B61BB82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sng" strike="noStrike" baseline="0">
                <a:solidFill>
                  <a:srgbClr val="0033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Cash flow status</a:t>
            </a:r>
          </a:p>
        </c:rich>
      </c:tx>
      <c:layout>
        <c:manualLayout>
          <c:xMode val="edge"/>
          <c:yMode val="edge"/>
          <c:x val="0.39082576216434484"/>
          <c:y val="3.7671234156228695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654-4FBD-8DD2-F7A05AE3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987320"/>
        <c:axId val="352989672"/>
      </c:areaChart>
      <c:catAx>
        <c:axId val="352987320"/>
        <c:scaling>
          <c:orientation val="minMax"/>
        </c:scaling>
        <c:delete val="0"/>
        <c:axPos val="b"/>
        <c:numFmt formatCode="B1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94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989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989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98732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sng" strike="noStrike" baseline="0">
                <a:solidFill>
                  <a:srgbClr val="0033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 Revenues and Data cost</a:t>
            </a:r>
          </a:p>
        </c:rich>
      </c:tx>
      <c:layout>
        <c:manualLayout>
          <c:xMode val="edge"/>
          <c:yMode val="edge"/>
          <c:x val="0.30046948356807512"/>
          <c:y val="4.285714285714285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'MONTHLY P&amp;L'!#REF!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'Monthly P&amp;L'!#REF!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'Monthly P&amp;L'!#REF!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AFD-41EE-9788-A01FF0F4B826}"/>
            </c:ext>
          </c:extLst>
        </c:ser>
        <c:ser>
          <c:idx val="0"/>
          <c:order val="1"/>
          <c:tx>
            <c:v>'MONTHLY P&amp;L'!#REF!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'Monthly P&amp;L'!#REF!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'Monthly P&amp;L'!#REF!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AFD-41EE-9788-A01FF0F4B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52990456"/>
        <c:axId val="352986928"/>
      </c:barChart>
      <c:catAx>
        <c:axId val="352990456"/>
        <c:scaling>
          <c:orientation val="minMax"/>
        </c:scaling>
        <c:delete val="0"/>
        <c:axPos val="b"/>
        <c:numFmt formatCode="B1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0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98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98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990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35</xdr:row>
      <xdr:rowOff>0</xdr:rowOff>
    </xdr:from>
    <xdr:to>
      <xdr:col>6</xdr:col>
      <xdr:colOff>0</xdr:colOff>
      <xdr:row>35</xdr:row>
      <xdr:rowOff>0</xdr:rowOff>
    </xdr:to>
    <xdr:graphicFrame macro="">
      <xdr:nvGraphicFramePr>
        <xdr:cNvPr id="2803889" name="Chart 1">
          <a:extLst>
            <a:ext uri="{FF2B5EF4-FFF2-40B4-BE49-F238E27FC236}">
              <a16:creationId xmlns:a16="http://schemas.microsoft.com/office/drawing/2014/main" id="{00000000-0008-0000-0000-0000B1C8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35</xdr:row>
      <xdr:rowOff>0</xdr:rowOff>
    </xdr:from>
    <xdr:to>
      <xdr:col>6</xdr:col>
      <xdr:colOff>0</xdr:colOff>
      <xdr:row>35</xdr:row>
      <xdr:rowOff>0</xdr:rowOff>
    </xdr:to>
    <xdr:graphicFrame macro="">
      <xdr:nvGraphicFramePr>
        <xdr:cNvPr id="2803890" name="Chart 3">
          <a:extLst>
            <a:ext uri="{FF2B5EF4-FFF2-40B4-BE49-F238E27FC236}">
              <a16:creationId xmlns:a16="http://schemas.microsoft.com/office/drawing/2014/main" id="{00000000-0008-0000-0000-0000B2C8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35</xdr:row>
      <xdr:rowOff>0</xdr:rowOff>
    </xdr:from>
    <xdr:to>
      <xdr:col>6</xdr:col>
      <xdr:colOff>0</xdr:colOff>
      <xdr:row>35</xdr:row>
      <xdr:rowOff>0</xdr:rowOff>
    </xdr:to>
    <xdr:graphicFrame macro="">
      <xdr:nvGraphicFramePr>
        <xdr:cNvPr id="2803891" name="Chart 258">
          <a:extLst>
            <a:ext uri="{FF2B5EF4-FFF2-40B4-BE49-F238E27FC236}">
              <a16:creationId xmlns:a16="http://schemas.microsoft.com/office/drawing/2014/main" id="{00000000-0008-0000-0000-0000B3C8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opLeftCell="A22" zoomScale="110" zoomScaleNormal="110" workbookViewId="0"/>
  </sheetViews>
  <sheetFormatPr defaultColWidth="9.1796875" defaultRowHeight="12.5"/>
  <cols>
    <col min="1" max="1" width="5" style="75" customWidth="1"/>
    <col min="2" max="2" width="36.453125" style="75" customWidth="1"/>
    <col min="3" max="6" width="8.54296875" style="75" customWidth="1"/>
    <col min="7" max="7" width="9.26953125" style="75" bestFit="1" customWidth="1"/>
    <col min="8" max="11" width="9.1796875" style="75"/>
    <col min="12" max="12" width="17.453125" style="75" customWidth="1"/>
    <col min="13" max="16384" width="9.1796875" style="75"/>
  </cols>
  <sheetData>
    <row r="1" spans="1:13" ht="13" thickBot="1"/>
    <row r="2" spans="1:13" ht="16.5">
      <c r="B2" s="282" t="str">
        <f>Assumptions!B1</f>
        <v>Company Name</v>
      </c>
      <c r="C2" s="284"/>
      <c r="D2" s="284"/>
      <c r="E2" s="284"/>
      <c r="F2" s="284"/>
      <c r="G2" s="283"/>
    </row>
    <row r="3" spans="1:13" ht="18.75" customHeight="1">
      <c r="B3" s="285" t="str">
        <f>Assumptions!B2</f>
        <v>Budget 2020</v>
      </c>
      <c r="C3" s="287"/>
      <c r="D3" s="287"/>
      <c r="E3" s="287"/>
      <c r="F3" s="287"/>
      <c r="G3" s="286"/>
    </row>
    <row r="4" spans="1:13" ht="18.75" customHeight="1" thickBot="1">
      <c r="B4" s="438" t="s">
        <v>84</v>
      </c>
      <c r="C4" s="439"/>
      <c r="D4" s="439"/>
      <c r="E4" s="439"/>
      <c r="F4" s="439"/>
      <c r="G4" s="440"/>
    </row>
    <row r="5" spans="1:13" ht="18.75" customHeight="1" thickBot="1">
      <c r="A5" s="77"/>
      <c r="B5" s="365"/>
      <c r="C5" s="365"/>
      <c r="D5" s="365"/>
      <c r="E5" s="365"/>
      <c r="F5" s="365"/>
      <c r="G5" s="365"/>
      <c r="H5" s="77"/>
      <c r="I5" s="77"/>
      <c r="J5" s="77"/>
    </row>
    <row r="6" spans="1:13" ht="13.5" thickBot="1">
      <c r="B6" s="288" t="s">
        <v>78</v>
      </c>
      <c r="C6" s="289" t="s">
        <v>88</v>
      </c>
      <c r="D6" s="289" t="s">
        <v>89</v>
      </c>
      <c r="E6" s="289" t="s">
        <v>90</v>
      </c>
      <c r="F6" s="290" t="s">
        <v>91</v>
      </c>
      <c r="G6" s="290" t="s">
        <v>122</v>
      </c>
    </row>
    <row r="7" spans="1:13">
      <c r="B7" s="129"/>
      <c r="C7" s="131"/>
      <c r="D7" s="131"/>
      <c r="E7" s="131"/>
      <c r="F7" s="132"/>
      <c r="G7" s="132"/>
    </row>
    <row r="8" spans="1:13" ht="15.5">
      <c r="B8" s="130" t="s">
        <v>130</v>
      </c>
      <c r="C8" s="102">
        <f>'Monthly P&amp;L'!P8</f>
        <v>456.66666666666674</v>
      </c>
      <c r="D8" s="102">
        <f>'Monthly P&amp;L'!Q8</f>
        <v>500</v>
      </c>
      <c r="E8" s="102">
        <f>'Monthly P&amp;L'!R8</f>
        <v>525</v>
      </c>
      <c r="F8" s="133">
        <f>'Monthly P&amp;L'!S8</f>
        <v>595</v>
      </c>
      <c r="G8" s="170">
        <f>SUM(C8:F8)</f>
        <v>2076.666666666667</v>
      </c>
      <c r="I8" s="103"/>
      <c r="L8" s="188"/>
    </row>
    <row r="9" spans="1:13" ht="15.5">
      <c r="B9" s="130" t="s">
        <v>35</v>
      </c>
      <c r="C9" s="102">
        <f>'Monthly P&amp;L'!P15</f>
        <v>129.54964976190479</v>
      </c>
      <c r="D9" s="102">
        <f>'Monthly P&amp;L'!Q15</f>
        <v>128.02283777472528</v>
      </c>
      <c r="E9" s="102">
        <f>'Monthly P&amp;L'!R15</f>
        <v>130.90302362637362</v>
      </c>
      <c r="F9" s="133">
        <f>'Monthly P&amp;L'!S15</f>
        <v>134.67648516483519</v>
      </c>
      <c r="G9" s="170">
        <f>SUM(C9:F9)</f>
        <v>523.1519963278389</v>
      </c>
      <c r="I9" s="103"/>
      <c r="J9" s="103"/>
      <c r="K9" s="103"/>
      <c r="L9" s="188"/>
      <c r="M9" s="103"/>
    </row>
    <row r="10" spans="1:13" ht="15.5">
      <c r="B10" s="126" t="s">
        <v>33</v>
      </c>
      <c r="C10" s="127">
        <f>C8-C9</f>
        <v>327.11701690476195</v>
      </c>
      <c r="D10" s="127">
        <f>D8-D9</f>
        <v>371.9771622252747</v>
      </c>
      <c r="E10" s="127">
        <f>E8-E9</f>
        <v>394.09697637362638</v>
      </c>
      <c r="F10" s="128">
        <f>F8-F9</f>
        <v>460.32351483516481</v>
      </c>
      <c r="G10" s="171">
        <f>G8-G9</f>
        <v>1553.5146703388282</v>
      </c>
      <c r="I10" s="103"/>
      <c r="L10" s="188"/>
    </row>
    <row r="11" spans="1:13" ht="15.5">
      <c r="B11" s="130"/>
      <c r="C11" s="102"/>
      <c r="D11" s="102"/>
      <c r="E11" s="102"/>
      <c r="F11" s="133"/>
      <c r="G11" s="172"/>
      <c r="L11" s="188"/>
    </row>
    <row r="12" spans="1:13" ht="15.5">
      <c r="B12" s="130" t="s">
        <v>67</v>
      </c>
      <c r="C12" s="102">
        <f>'Monthly P&amp;L'!P26</f>
        <v>154.41670761904763</v>
      </c>
      <c r="D12" s="102">
        <f>'Monthly P&amp;L'!Q26</f>
        <v>178.66634867216118</v>
      </c>
      <c r="E12" s="102">
        <f>'Monthly P&amp;L'!R26</f>
        <v>178.04999175824176</v>
      </c>
      <c r="F12" s="133">
        <f>'Monthly P&amp;L'!S26</f>
        <v>178.50576098901098</v>
      </c>
      <c r="G12" s="172">
        <f>SUM(C12:F12)</f>
        <v>689.63880903846143</v>
      </c>
      <c r="L12" s="188"/>
    </row>
    <row r="13" spans="1:13" ht="15.5">
      <c r="B13" s="130" t="s">
        <v>68</v>
      </c>
      <c r="C13" s="102">
        <f>'Monthly P&amp;L'!P35</f>
        <v>164.46932047619049</v>
      </c>
      <c r="D13" s="102">
        <f>'Monthly P&amp;L'!Q35</f>
        <v>229.91663667582418</v>
      </c>
      <c r="E13" s="102">
        <f>'Monthly P&amp;L'!R35</f>
        <v>241.4360791208791</v>
      </c>
      <c r="F13" s="133">
        <f>'Monthly P&amp;L'!S35</f>
        <v>250.20069450549451</v>
      </c>
      <c r="G13" s="172">
        <f>SUM(C13:F13)</f>
        <v>886.02273077838834</v>
      </c>
      <c r="L13" s="188"/>
    </row>
    <row r="14" spans="1:13">
      <c r="B14" s="130" t="s">
        <v>1</v>
      </c>
      <c r="C14" s="102">
        <f>'Monthly P&amp;L'!P44</f>
        <v>67.200391190476182</v>
      </c>
      <c r="D14" s="102">
        <f>'Monthly P&amp;L'!Q44</f>
        <v>69.635898305860806</v>
      </c>
      <c r="E14" s="102">
        <f>'Monthly P&amp;L'!R44</f>
        <v>65.512626923076908</v>
      </c>
      <c r="F14" s="133">
        <f>'Monthly P&amp;L'!S44</f>
        <v>61.603780769230767</v>
      </c>
      <c r="G14" s="172">
        <f>SUM(C14:F14)</f>
        <v>263.95269718864466</v>
      </c>
    </row>
    <row r="15" spans="1:13" ht="13">
      <c r="B15" s="126" t="s">
        <v>29</v>
      </c>
      <c r="C15" s="127">
        <f>SUM(C12:C14)</f>
        <v>386.08641928571427</v>
      </c>
      <c r="D15" s="127">
        <f>SUM(D12:D14)</f>
        <v>478.21888365384615</v>
      </c>
      <c r="E15" s="127">
        <f>SUM(E12:E14)</f>
        <v>484.99869780219774</v>
      </c>
      <c r="F15" s="128">
        <f>SUM(F12:F14)</f>
        <v>490.31023626373621</v>
      </c>
      <c r="G15" s="171">
        <f>SUM(G12:G14)</f>
        <v>1839.6142370054943</v>
      </c>
      <c r="H15" s="103"/>
    </row>
    <row r="16" spans="1:13">
      <c r="B16" s="130"/>
      <c r="C16" s="102"/>
      <c r="D16" s="102"/>
      <c r="E16" s="102"/>
      <c r="F16" s="133"/>
      <c r="G16" s="172"/>
    </row>
    <row r="17" spans="2:12" ht="13">
      <c r="B17" s="126" t="s">
        <v>37</v>
      </c>
      <c r="C17" s="127">
        <f>C10-C15</f>
        <v>-58.969402380952317</v>
      </c>
      <c r="D17" s="127">
        <f>D10-D15</f>
        <v>-106.24172142857145</v>
      </c>
      <c r="E17" s="127">
        <f>E10-E15</f>
        <v>-90.901721428571364</v>
      </c>
      <c r="F17" s="128">
        <f>F10-F15</f>
        <v>-29.9867214285714</v>
      </c>
      <c r="G17" s="128">
        <f>G10-G15</f>
        <v>-286.09956666666608</v>
      </c>
    </row>
    <row r="18" spans="2:12" ht="15.5">
      <c r="B18" s="130"/>
      <c r="C18" s="102"/>
      <c r="D18" s="102"/>
      <c r="E18" s="102"/>
      <c r="F18" s="133"/>
      <c r="G18" s="172"/>
      <c r="L18" s="188"/>
    </row>
    <row r="19" spans="2:12" ht="16" thickBot="1">
      <c r="B19" s="130" t="s">
        <v>28</v>
      </c>
      <c r="C19" s="102">
        <f>'Monthly P&amp;L'!P49</f>
        <v>-6.1999999999999993</v>
      </c>
      <c r="D19" s="102">
        <f>'Monthly P&amp;L'!Q49</f>
        <v>-13.7</v>
      </c>
      <c r="E19" s="102">
        <f>'Monthly P&amp;L'!R49</f>
        <v>-5.4</v>
      </c>
      <c r="F19" s="133">
        <f>'Monthly P&amp;L'!S49</f>
        <v>-5.4</v>
      </c>
      <c r="G19" s="133">
        <f>SUM(C19:F19)</f>
        <v>-30.699999999999996</v>
      </c>
      <c r="L19" s="188"/>
    </row>
    <row r="20" spans="2:12" ht="16" thickBot="1">
      <c r="B20" s="288" t="s">
        <v>121</v>
      </c>
      <c r="C20" s="342">
        <f>SUM(C17:C19)</f>
        <v>-65.16940238095232</v>
      </c>
      <c r="D20" s="342">
        <f>SUM(D17:D19)</f>
        <v>-119.94172142857146</v>
      </c>
      <c r="E20" s="342">
        <f>SUM(E17:E19)</f>
        <v>-96.301721428571369</v>
      </c>
      <c r="F20" s="343">
        <f>SUM(F17:F19)</f>
        <v>-35.386721428571398</v>
      </c>
      <c r="G20" s="343">
        <f>SUM(G17:G19)</f>
        <v>-316.79956666666607</v>
      </c>
      <c r="L20" s="188"/>
    </row>
    <row r="21" spans="2:12">
      <c r="C21" s="77"/>
      <c r="D21" s="77"/>
      <c r="E21" s="77"/>
    </row>
    <row r="22" spans="2:12" ht="13" thickBot="1">
      <c r="C22" s="77"/>
      <c r="D22" s="77"/>
      <c r="E22" s="77"/>
    </row>
    <row r="23" spans="2:12" ht="13.5" thickBot="1">
      <c r="B23" s="288" t="s">
        <v>43</v>
      </c>
      <c r="C23" s="289" t="str">
        <f>C6</f>
        <v>Q1</v>
      </c>
      <c r="D23" s="289" t="str">
        <f>D6</f>
        <v>Q2</v>
      </c>
      <c r="E23" s="289" t="str">
        <f>E6</f>
        <v>Q3</v>
      </c>
      <c r="F23" s="290" t="str">
        <f>F6</f>
        <v>Q4</v>
      </c>
      <c r="G23" s="290" t="s">
        <v>122</v>
      </c>
    </row>
    <row r="24" spans="2:12">
      <c r="B24" s="130" t="s">
        <v>34</v>
      </c>
      <c r="C24" s="134">
        <f>'Payroll &amp; related'!L24</f>
        <v>3</v>
      </c>
      <c r="D24" s="134">
        <f>'Payroll &amp; related'!O24</f>
        <v>3</v>
      </c>
      <c r="E24" s="134">
        <f>'Payroll &amp; related'!R24</f>
        <v>3</v>
      </c>
      <c r="F24" s="135">
        <f>'Payroll &amp; related'!U24</f>
        <v>3</v>
      </c>
      <c r="G24" s="173">
        <f>F24</f>
        <v>3</v>
      </c>
    </row>
    <row r="25" spans="2:12">
      <c r="B25" s="130" t="s">
        <v>0</v>
      </c>
      <c r="C25" s="134">
        <f>'Payroll &amp; related'!L25</f>
        <v>4</v>
      </c>
      <c r="D25" s="134">
        <f>'Payroll &amp; related'!O25</f>
        <v>5</v>
      </c>
      <c r="E25" s="134">
        <f>'Payroll &amp; related'!R25</f>
        <v>5</v>
      </c>
      <c r="F25" s="135">
        <f>'Payroll &amp; related'!U25</f>
        <v>5</v>
      </c>
      <c r="G25" s="173">
        <f>F25</f>
        <v>5</v>
      </c>
    </row>
    <row r="26" spans="2:12">
      <c r="B26" s="130" t="s">
        <v>39</v>
      </c>
      <c r="C26" s="134">
        <f>'Payroll &amp; related'!L26</f>
        <v>2</v>
      </c>
      <c r="D26" s="134">
        <f>'Payroll &amp; related'!O26</f>
        <v>4</v>
      </c>
      <c r="E26" s="134">
        <f>'Payroll &amp; related'!R26</f>
        <v>4</v>
      </c>
      <c r="F26" s="135">
        <f>'Payroll &amp; related'!U26</f>
        <v>4</v>
      </c>
      <c r="G26" s="173">
        <f>F26</f>
        <v>4</v>
      </c>
    </row>
    <row r="27" spans="2:12" ht="13" thickBot="1">
      <c r="B27" s="130" t="s">
        <v>1</v>
      </c>
      <c r="C27" s="134">
        <f>'Payroll &amp; related'!L27</f>
        <v>1</v>
      </c>
      <c r="D27" s="134">
        <f>'Payroll &amp; related'!O27</f>
        <v>1</v>
      </c>
      <c r="E27" s="134">
        <f>'Payroll &amp; related'!R27</f>
        <v>1</v>
      </c>
      <c r="F27" s="135">
        <f>'Payroll &amp; related'!U27</f>
        <v>1</v>
      </c>
      <c r="G27" s="173">
        <f>F27</f>
        <v>1</v>
      </c>
    </row>
    <row r="28" spans="2:12" ht="13.5" thickBot="1">
      <c r="B28" s="288" t="s">
        <v>31</v>
      </c>
      <c r="C28" s="349">
        <f>SUM(C24:C27)</f>
        <v>10</v>
      </c>
      <c r="D28" s="349">
        <f>SUM(D24:D27)</f>
        <v>13</v>
      </c>
      <c r="E28" s="349">
        <f>SUM(E24:E27)</f>
        <v>13</v>
      </c>
      <c r="F28" s="350">
        <f>SUM(F24:F27)</f>
        <v>13</v>
      </c>
      <c r="G28" s="350">
        <f>SUM(G24:G27)</f>
        <v>13</v>
      </c>
    </row>
    <row r="29" spans="2:12">
      <c r="C29" s="77"/>
      <c r="D29" s="77"/>
      <c r="E29" s="77"/>
    </row>
    <row r="30" spans="2:12" ht="13" thickBot="1">
      <c r="C30" s="77"/>
      <c r="D30" s="77"/>
      <c r="E30" s="77"/>
    </row>
    <row r="31" spans="2:12" ht="13.5" thickBot="1">
      <c r="B31" s="288" t="s">
        <v>70</v>
      </c>
      <c r="C31" s="289" t="str">
        <f>C6</f>
        <v>Q1</v>
      </c>
      <c r="D31" s="289" t="str">
        <f>D6</f>
        <v>Q2</v>
      </c>
      <c r="E31" s="289" t="str">
        <f>E6</f>
        <v>Q3</v>
      </c>
      <c r="F31" s="290" t="str">
        <f>F6</f>
        <v>Q4</v>
      </c>
      <c r="G31" s="290" t="s">
        <v>122</v>
      </c>
    </row>
    <row r="32" spans="2:12">
      <c r="B32" s="129" t="s">
        <v>69</v>
      </c>
      <c r="C32" s="136">
        <f>(C9+C15-C19)/3</f>
        <v>173.94535634920635</v>
      </c>
      <c r="D32" s="137">
        <f>(D9+D15-D19)/3</f>
        <v>206.64724047619049</v>
      </c>
      <c r="E32" s="137">
        <f>(E9+E15-E19)/3</f>
        <v>207.10057380952378</v>
      </c>
      <c r="F32" s="176">
        <f>(F9+F15-F19)/3</f>
        <v>210.12890714285712</v>
      </c>
      <c r="G32" s="138">
        <f>(G9+G15-G19)/12</f>
        <v>199.45551944444443</v>
      </c>
    </row>
    <row r="33" spans="2:7" ht="13" thickBot="1">
      <c r="B33" s="344" t="s">
        <v>134</v>
      </c>
      <c r="C33" s="345">
        <f>-C20/3</f>
        <v>21.723134126984107</v>
      </c>
      <c r="D33" s="346">
        <f>-D20/3</f>
        <v>39.980573809523818</v>
      </c>
      <c r="E33" s="346">
        <f>-E20/3</f>
        <v>32.100573809523787</v>
      </c>
      <c r="F33" s="133">
        <f>-F20/3</f>
        <v>11.7955738095238</v>
      </c>
      <c r="G33" s="347">
        <f>G20/12</f>
        <v>-26.399963888888838</v>
      </c>
    </row>
    <row r="34" spans="2:7" ht="13.5" thickBot="1">
      <c r="B34" s="288" t="s">
        <v>133</v>
      </c>
      <c r="C34" s="342">
        <f>'Monthly P&amp;L'!P53</f>
        <v>934.83059761904758</v>
      </c>
      <c r="D34" s="342">
        <f>C34+D20</f>
        <v>814.88887619047614</v>
      </c>
      <c r="E34" s="342">
        <f>D34+E20</f>
        <v>718.5871547619048</v>
      </c>
      <c r="F34" s="343">
        <f>E34+F20</f>
        <v>683.20043333333342</v>
      </c>
      <c r="G34" s="348">
        <f>F34</f>
        <v>683.20043333333342</v>
      </c>
    </row>
    <row r="37" spans="2:7">
      <c r="B37" s="189"/>
    </row>
  </sheetData>
  <mergeCells count="1">
    <mergeCell ref="B4:G4"/>
  </mergeCells>
  <phoneticPr fontId="3" type="noConversion"/>
  <pageMargins left="0.75" right="0.75" top="1" bottom="1" header="0.5" footer="0.5"/>
  <pageSetup paperSize="9" orientation="portrait" r:id="rId1"/>
  <headerFooter alignWithMargins="0">
    <oddHeader xml:space="preserve">&amp;L&amp;G&amp;C
&amp;G
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3"/>
  <sheetViews>
    <sheetView tabSelected="1" topLeftCell="A2" zoomScaleNormal="100" workbookViewId="0">
      <pane xSplit="2" ySplit="5" topLeftCell="C7" activePane="bottomRight" state="frozen"/>
      <selection activeCell="A2" sqref="A2"/>
      <selection pane="topRight" activeCell="C2" sqref="C2"/>
      <selection pane="bottomLeft" activeCell="A6" sqref="A6"/>
      <selection pane="bottomRight" activeCell="K66" sqref="K66"/>
    </sheetView>
  </sheetViews>
  <sheetFormatPr defaultColWidth="9.1796875" defaultRowHeight="12.5"/>
  <cols>
    <col min="1" max="1" width="1.81640625" style="75" customWidth="1"/>
    <col min="2" max="2" width="30.81640625" style="75" customWidth="1"/>
    <col min="3" max="3" width="8.54296875" style="75" bestFit="1" customWidth="1"/>
    <col min="4" max="4" width="9.81640625" style="75" bestFit="1" customWidth="1"/>
    <col min="5" max="5" width="8" style="75" bestFit="1" customWidth="1"/>
    <col min="6" max="6" width="6.7265625" style="75" bestFit="1" customWidth="1"/>
    <col min="7" max="7" width="7.7265625" style="75" bestFit="1" customWidth="1"/>
    <col min="8" max="8" width="8.7265625" style="75" bestFit="1" customWidth="1"/>
    <col min="9" max="9" width="7.7265625" style="75" bestFit="1" customWidth="1"/>
    <col min="10" max="10" width="9.1796875" style="75" bestFit="1" customWidth="1"/>
    <col min="11" max="11" width="10.54296875" style="75" bestFit="1" customWidth="1"/>
    <col min="12" max="12" width="10.453125" style="75" bestFit="1" customWidth="1"/>
    <col min="13" max="13" width="9.453125" style="75" bestFit="1" customWidth="1"/>
    <col min="14" max="14" width="9.1796875" style="75" bestFit="1" customWidth="1"/>
    <col min="15" max="15" width="7.1796875" style="75" customWidth="1"/>
    <col min="16" max="19" width="9.1796875" style="75"/>
    <col min="20" max="20" width="10.7265625" style="75" customWidth="1"/>
    <col min="21" max="21" width="9.1796875" style="75"/>
    <col min="22" max="22" width="9.81640625" style="75" bestFit="1" customWidth="1"/>
    <col min="23" max="16384" width="9.1796875" style="75"/>
  </cols>
  <sheetData>
    <row r="1" spans="2:27" ht="16" thickBot="1">
      <c r="B1" s="106" t="str">
        <f>Assumptions!B1</f>
        <v>Company Name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2:27" s="76" customFormat="1" ht="15.5">
      <c r="B2" s="441" t="str">
        <f>Assumptions!B2</f>
        <v>Budget 2020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3"/>
    </row>
    <row r="3" spans="2:27" ht="16" thickBot="1">
      <c r="B3" s="444" t="s">
        <v>84</v>
      </c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6"/>
    </row>
    <row r="4" spans="2:27" ht="13" thickBot="1"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2:27" ht="13.5" thickBot="1">
      <c r="B5" s="447" t="s">
        <v>127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9"/>
      <c r="P5" s="447" t="s">
        <v>164</v>
      </c>
      <c r="Q5" s="448"/>
      <c r="R5" s="448"/>
      <c r="S5" s="448"/>
      <c r="T5" s="449"/>
    </row>
    <row r="6" spans="2:27" s="76" customFormat="1" ht="13.5" thickBot="1">
      <c r="B6" s="278"/>
      <c r="C6" s="279" t="s">
        <v>14</v>
      </c>
      <c r="D6" s="279" t="s">
        <v>15</v>
      </c>
      <c r="E6" s="279" t="s">
        <v>16</v>
      </c>
      <c r="F6" s="279" t="s">
        <v>17</v>
      </c>
      <c r="G6" s="279" t="s">
        <v>18</v>
      </c>
      <c r="H6" s="279" t="s">
        <v>19</v>
      </c>
      <c r="I6" s="279" t="s">
        <v>72</v>
      </c>
      <c r="J6" s="279" t="s">
        <v>73</v>
      </c>
      <c r="K6" s="279" t="s">
        <v>74</v>
      </c>
      <c r="L6" s="279" t="s">
        <v>75</v>
      </c>
      <c r="M6" s="279" t="s">
        <v>76</v>
      </c>
      <c r="N6" s="280" t="s">
        <v>77</v>
      </c>
      <c r="O6" s="75"/>
      <c r="P6" s="364" t="s">
        <v>88</v>
      </c>
      <c r="Q6" s="279" t="s">
        <v>89</v>
      </c>
      <c r="R6" s="279" t="s">
        <v>90</v>
      </c>
      <c r="S6" s="279" t="s">
        <v>91</v>
      </c>
      <c r="T6" s="280" t="s">
        <v>80</v>
      </c>
    </row>
    <row r="7" spans="2:27" s="76" customFormat="1">
      <c r="B7" s="207"/>
      <c r="C7" s="361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3"/>
      <c r="P7" s="226"/>
      <c r="Q7" s="105"/>
      <c r="R7" s="105"/>
      <c r="S7" s="105"/>
      <c r="T7" s="227"/>
    </row>
    <row r="8" spans="2:27" s="177" customFormat="1" ht="13">
      <c r="B8" s="395" t="s">
        <v>130</v>
      </c>
      <c r="C8" s="376">
        <f>Revenue!D12</f>
        <v>135</v>
      </c>
      <c r="D8" s="376">
        <f>Revenue!E12</f>
        <v>158.33333333333334</v>
      </c>
      <c r="E8" s="376">
        <f>Revenue!F12</f>
        <v>163.33333333333334</v>
      </c>
      <c r="F8" s="376">
        <f>Revenue!G12</f>
        <v>163.33333333333334</v>
      </c>
      <c r="G8" s="376">
        <f>Revenue!H12</f>
        <v>168.33333333333334</v>
      </c>
      <c r="H8" s="376">
        <f>Revenue!I12</f>
        <v>168.33333333333334</v>
      </c>
      <c r="I8" s="376">
        <f>Revenue!J12</f>
        <v>168.33333333333334</v>
      </c>
      <c r="J8" s="376">
        <f>Revenue!K12</f>
        <v>178.33333333333334</v>
      </c>
      <c r="K8" s="376">
        <f>Revenue!L12</f>
        <v>178.33333333333334</v>
      </c>
      <c r="L8" s="376">
        <f>Revenue!M12</f>
        <v>188.33333333333334</v>
      </c>
      <c r="M8" s="376">
        <f>Revenue!N12</f>
        <v>198.33333333333334</v>
      </c>
      <c r="N8" s="396">
        <f>Revenue!O12</f>
        <v>208.33333333333334</v>
      </c>
      <c r="P8" s="378">
        <f t="shared" ref="P8" si="0">SUM(C8:E8)</f>
        <v>456.66666666666674</v>
      </c>
      <c r="Q8" s="377">
        <f t="shared" ref="Q8" si="1">SUM(F8:H8)</f>
        <v>500</v>
      </c>
      <c r="R8" s="377">
        <f t="shared" ref="R8" si="2">SUM(I8:K8)</f>
        <v>525</v>
      </c>
      <c r="S8" s="377">
        <f t="shared" ref="S8" si="3">SUM(L8:N8)</f>
        <v>595</v>
      </c>
      <c r="T8" s="379">
        <f t="shared" ref="T8" si="4">SUM(P8:S8)</f>
        <v>2076.666666666667</v>
      </c>
    </row>
    <row r="9" spans="2:27" ht="13">
      <c r="B9" s="211"/>
      <c r="C9" s="94"/>
      <c r="D9" s="95"/>
      <c r="E9" s="95"/>
      <c r="F9" s="95"/>
      <c r="G9" s="95"/>
      <c r="H9" s="95"/>
      <c r="I9" s="95"/>
      <c r="J9" s="95"/>
      <c r="K9" s="95"/>
      <c r="L9" s="95"/>
      <c r="M9" s="95"/>
      <c r="N9" s="212"/>
      <c r="P9" s="228"/>
      <c r="Q9" s="82"/>
      <c r="R9" s="82"/>
      <c r="S9" s="82"/>
      <c r="T9" s="229"/>
    </row>
    <row r="10" spans="2:27" s="76" customFormat="1" ht="13">
      <c r="B10" s="213" t="s">
        <v>35</v>
      </c>
      <c r="C10" s="94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212"/>
      <c r="P10" s="230"/>
      <c r="Q10" s="81"/>
      <c r="R10" s="81"/>
      <c r="S10" s="81"/>
      <c r="T10" s="231"/>
    </row>
    <row r="11" spans="2:27" s="76" customFormat="1">
      <c r="B11" s="397" t="s">
        <v>5</v>
      </c>
      <c r="C11" s="366">
        <f>'Payroll &amp; related'!J47</f>
        <v>22.25657142857143</v>
      </c>
      <c r="D11" s="366">
        <f>'Payroll &amp; related'!K47</f>
        <v>22.25657142857143</v>
      </c>
      <c r="E11" s="366">
        <f>'Payroll &amp; related'!L47</f>
        <v>22.25657142857143</v>
      </c>
      <c r="F11" s="366">
        <f>'Payroll &amp; related'!M47</f>
        <v>22.25657142857143</v>
      </c>
      <c r="G11" s="366">
        <f>'Payroll &amp; related'!N47</f>
        <v>22.25657142857143</v>
      </c>
      <c r="H11" s="366">
        <f>'Payroll &amp; related'!O47</f>
        <v>22.25657142857143</v>
      </c>
      <c r="I11" s="366">
        <f>'Payroll &amp; related'!P47</f>
        <v>22.25657142857143</v>
      </c>
      <c r="J11" s="366">
        <f>'Payroll &amp; related'!Q47</f>
        <v>22.25657142857143</v>
      </c>
      <c r="K11" s="366">
        <f>'Payroll &amp; related'!R47</f>
        <v>22.25657142857143</v>
      </c>
      <c r="L11" s="366">
        <f>'Payroll &amp; related'!S47</f>
        <v>22.25657142857143</v>
      </c>
      <c r="M11" s="366">
        <f>'Payroll &amp; related'!T47</f>
        <v>22.25657142857143</v>
      </c>
      <c r="N11" s="383">
        <f>'Payroll &amp; related'!U47</f>
        <v>22.25657142857143</v>
      </c>
      <c r="P11" s="380">
        <f>SUM(C11:E11)</f>
        <v>66.769714285714286</v>
      </c>
      <c r="Q11" s="369">
        <f>SUM(F11:H11)</f>
        <v>66.769714285714286</v>
      </c>
      <c r="R11" s="369">
        <f>SUM(I11:K11)</f>
        <v>66.769714285714286</v>
      </c>
      <c r="S11" s="369">
        <f>SUM(L11:N11)</f>
        <v>66.769714285714286</v>
      </c>
      <c r="T11" s="381">
        <f>SUM(P11:S11)</f>
        <v>267.07885714285715</v>
      </c>
      <c r="V11" s="75"/>
      <c r="W11" s="75"/>
      <c r="X11" s="75"/>
      <c r="Y11" s="75"/>
      <c r="Z11" s="75"/>
      <c r="AA11" s="75"/>
    </row>
    <row r="12" spans="2:27" s="76" customFormat="1">
      <c r="B12" s="397" t="s">
        <v>10</v>
      </c>
      <c r="C12" s="366">
        <f>Expenses!D59</f>
        <v>0</v>
      </c>
      <c r="D12" s="366">
        <f>Expenses!E59</f>
        <v>0</v>
      </c>
      <c r="E12" s="366">
        <f>Expenses!F59</f>
        <v>0</v>
      </c>
      <c r="F12" s="366">
        <f>Expenses!G59</f>
        <v>0</v>
      </c>
      <c r="G12" s="366">
        <f>Expenses!H59</f>
        <v>0</v>
      </c>
      <c r="H12" s="366">
        <f>Expenses!I59</f>
        <v>0</v>
      </c>
      <c r="I12" s="366">
        <f>Expenses!J59</f>
        <v>0</v>
      </c>
      <c r="J12" s="366">
        <f>Expenses!K59</f>
        <v>0</v>
      </c>
      <c r="K12" s="366">
        <f>Expenses!L59</f>
        <v>0</v>
      </c>
      <c r="L12" s="366">
        <f>Expenses!M59</f>
        <v>0</v>
      </c>
      <c r="M12" s="366">
        <f>Expenses!N59</f>
        <v>0</v>
      </c>
      <c r="N12" s="383">
        <f>Expenses!O59</f>
        <v>0</v>
      </c>
      <c r="P12" s="380">
        <f>SUM(C12:E12)</f>
        <v>0</v>
      </c>
      <c r="Q12" s="369">
        <f>SUM(F12:H12)</f>
        <v>0</v>
      </c>
      <c r="R12" s="369">
        <f>SUM(I12:K12)</f>
        <v>0</v>
      </c>
      <c r="S12" s="369">
        <f>SUM(L12:N12)</f>
        <v>0</v>
      </c>
      <c r="T12" s="381">
        <f>SUM(P12:S12)</f>
        <v>0</v>
      </c>
    </row>
    <row r="13" spans="2:27" s="76" customFormat="1">
      <c r="B13" s="398" t="s">
        <v>142</v>
      </c>
      <c r="C13" s="366">
        <f>Expenses!D10</f>
        <v>10.25</v>
      </c>
      <c r="D13" s="366">
        <f>Expenses!E10</f>
        <v>11.416666666666668</v>
      </c>
      <c r="E13" s="366">
        <f>Expenses!F10</f>
        <v>11.666666666666668</v>
      </c>
      <c r="F13" s="366">
        <f>Expenses!G10</f>
        <v>11.666666666666668</v>
      </c>
      <c r="G13" s="366">
        <f>Expenses!H10</f>
        <v>11.916666666666668</v>
      </c>
      <c r="H13" s="366">
        <f>Expenses!I10</f>
        <v>12.916666666666668</v>
      </c>
      <c r="I13" s="366">
        <f>Expenses!J10</f>
        <v>12.916666666666668</v>
      </c>
      <c r="J13" s="366">
        <f>Expenses!K10</f>
        <v>13.416666666666668</v>
      </c>
      <c r="K13" s="366">
        <f>Expenses!L10</f>
        <v>13.416666666666668</v>
      </c>
      <c r="L13" s="366">
        <f>Expenses!M10</f>
        <v>13.916666666666668</v>
      </c>
      <c r="M13" s="366">
        <f>Expenses!N10</f>
        <v>14.416666666666668</v>
      </c>
      <c r="N13" s="383">
        <f>Expenses!O10</f>
        <v>14.916666666666668</v>
      </c>
      <c r="P13" s="380">
        <f>SUM(C13:E13)</f>
        <v>33.333333333333336</v>
      </c>
      <c r="Q13" s="369">
        <f>SUM(F13:H13)</f>
        <v>36.5</v>
      </c>
      <c r="R13" s="369">
        <f>SUM(I13:K13)</f>
        <v>39.75</v>
      </c>
      <c r="S13" s="369">
        <f>SUM(L13:N13)</f>
        <v>43.25</v>
      </c>
      <c r="T13" s="381">
        <f>SUM(P13:S13)</f>
        <v>152.83333333333334</v>
      </c>
    </row>
    <row r="14" spans="2:27" s="76" customFormat="1">
      <c r="B14" s="399" t="s">
        <v>63</v>
      </c>
      <c r="C14" s="368">
        <f t="shared" ref="C14:N14" si="5">SUM(C$41:C$42)*C59/C$63</f>
        <v>10.08095476190476</v>
      </c>
      <c r="D14" s="368">
        <f t="shared" si="5"/>
        <v>9.9792880952380951</v>
      </c>
      <c r="E14" s="368">
        <f t="shared" si="5"/>
        <v>9.3863592857142866</v>
      </c>
      <c r="F14" s="368">
        <f t="shared" si="5"/>
        <v>8.5875839285714282</v>
      </c>
      <c r="G14" s="368">
        <f t="shared" si="5"/>
        <v>7.9616159340659332</v>
      </c>
      <c r="H14" s="368">
        <f t="shared" si="5"/>
        <v>8.2039236263736246</v>
      </c>
      <c r="I14" s="368">
        <f t="shared" si="5"/>
        <v>8.2039236263736246</v>
      </c>
      <c r="J14" s="368">
        <f t="shared" si="5"/>
        <v>8.0550774725274721</v>
      </c>
      <c r="K14" s="368">
        <f t="shared" si="5"/>
        <v>8.1243082417582411</v>
      </c>
      <c r="L14" s="368">
        <f t="shared" si="5"/>
        <v>8.1831543956043937</v>
      </c>
      <c r="M14" s="368">
        <f t="shared" si="5"/>
        <v>8.1727697802197792</v>
      </c>
      <c r="N14" s="400">
        <f t="shared" si="5"/>
        <v>8.3008467032967026</v>
      </c>
      <c r="P14" s="380">
        <f>SUM(C14:E14)</f>
        <v>29.446602142857138</v>
      </c>
      <c r="Q14" s="369">
        <f>SUM(F14:H14)</f>
        <v>24.753123489010989</v>
      </c>
      <c r="R14" s="369">
        <f>SUM(I14:K14)</f>
        <v>24.383309340659338</v>
      </c>
      <c r="S14" s="369">
        <f>SUM(L14:N14)</f>
        <v>24.656770879120874</v>
      </c>
      <c r="T14" s="381">
        <f>SUM(P14:S14)</f>
        <v>103.23980585164833</v>
      </c>
    </row>
    <row r="15" spans="2:27" s="76" customFormat="1" ht="13">
      <c r="B15" s="395" t="s">
        <v>36</v>
      </c>
      <c r="C15" s="377">
        <f>SUM(C11:C14)</f>
        <v>42.587526190476197</v>
      </c>
      <c r="D15" s="377">
        <f t="shared" ref="D15:N15" si="6">SUM(D11:D14)</f>
        <v>43.652526190476195</v>
      </c>
      <c r="E15" s="377">
        <f t="shared" si="6"/>
        <v>43.309597380952383</v>
      </c>
      <c r="F15" s="377">
        <f t="shared" si="6"/>
        <v>42.510822023809524</v>
      </c>
      <c r="G15" s="377">
        <f t="shared" si="6"/>
        <v>42.13485402930403</v>
      </c>
      <c r="H15" s="377">
        <f t="shared" si="6"/>
        <v>43.377161721611721</v>
      </c>
      <c r="I15" s="377">
        <f t="shared" si="6"/>
        <v>43.377161721611721</v>
      </c>
      <c r="J15" s="377">
        <f t="shared" si="6"/>
        <v>43.72831556776557</v>
      </c>
      <c r="K15" s="377">
        <f t="shared" si="6"/>
        <v>43.797546336996341</v>
      </c>
      <c r="L15" s="377">
        <f t="shared" si="6"/>
        <v>44.356392490842495</v>
      </c>
      <c r="M15" s="377">
        <f t="shared" si="6"/>
        <v>44.846007875457879</v>
      </c>
      <c r="N15" s="379">
        <f t="shared" si="6"/>
        <v>45.474084798534804</v>
      </c>
      <c r="O15" s="177"/>
      <c r="P15" s="378">
        <f>SUM(C15:E15)</f>
        <v>129.54964976190479</v>
      </c>
      <c r="Q15" s="377">
        <f>SUM(F15:H15)</f>
        <v>128.02283777472528</v>
      </c>
      <c r="R15" s="377">
        <f>SUM(I15:K15)</f>
        <v>130.90302362637362</v>
      </c>
      <c r="S15" s="377">
        <f>SUM(L15:N15)</f>
        <v>134.67648516483519</v>
      </c>
      <c r="T15" s="379">
        <f>SUM(T11:T14)</f>
        <v>523.15199632783879</v>
      </c>
    </row>
    <row r="16" spans="2:27" s="76" customFormat="1">
      <c r="B16" s="207"/>
      <c r="C16" s="79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215"/>
      <c r="P16" s="230"/>
      <c r="Q16" s="81"/>
      <c r="R16" s="81"/>
      <c r="S16" s="81"/>
      <c r="T16" s="231"/>
    </row>
    <row r="17" spans="1:20" s="83" customFormat="1" ht="13">
      <c r="B17" s="216" t="s">
        <v>33</v>
      </c>
      <c r="C17" s="84">
        <f>C8-C15</f>
        <v>92.412473809523803</v>
      </c>
      <c r="D17" s="85">
        <f t="shared" ref="D17:N17" si="7">D8-D15</f>
        <v>114.68080714285715</v>
      </c>
      <c r="E17" s="85">
        <f t="shared" si="7"/>
        <v>120.02373595238096</v>
      </c>
      <c r="F17" s="85">
        <f t="shared" si="7"/>
        <v>120.82251130952382</v>
      </c>
      <c r="G17" s="85">
        <f t="shared" si="7"/>
        <v>126.19847930402932</v>
      </c>
      <c r="H17" s="85">
        <f t="shared" si="7"/>
        <v>124.95617161172163</v>
      </c>
      <c r="I17" s="85">
        <f t="shared" si="7"/>
        <v>124.95617161172163</v>
      </c>
      <c r="J17" s="85">
        <f t="shared" si="7"/>
        <v>134.60501776556777</v>
      </c>
      <c r="K17" s="85">
        <f t="shared" si="7"/>
        <v>134.53578699633701</v>
      </c>
      <c r="L17" s="85">
        <f t="shared" si="7"/>
        <v>143.97694084249085</v>
      </c>
      <c r="M17" s="85">
        <f t="shared" si="7"/>
        <v>153.48732545787547</v>
      </c>
      <c r="N17" s="217">
        <f t="shared" si="7"/>
        <v>162.85924853479855</v>
      </c>
      <c r="O17" s="86"/>
      <c r="P17" s="232">
        <f>SUM(C17:E17)</f>
        <v>327.1170169047619</v>
      </c>
      <c r="Q17" s="87">
        <f>SUM(F17:H17)</f>
        <v>371.97716222527475</v>
      </c>
      <c r="R17" s="87">
        <f>SUM(I17:K17)</f>
        <v>394.09697637362638</v>
      </c>
      <c r="S17" s="87">
        <f>SUM(L17:N17)</f>
        <v>460.32351483516487</v>
      </c>
      <c r="T17" s="233">
        <f>SUM(P17:S17)</f>
        <v>1553.514670338828</v>
      </c>
    </row>
    <row r="18" spans="1:20" s="76" customFormat="1">
      <c r="B18" s="207"/>
      <c r="C18" s="88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218"/>
      <c r="P18" s="234"/>
      <c r="Q18" s="90"/>
      <c r="R18" s="90"/>
      <c r="S18" s="90"/>
      <c r="T18" s="235"/>
    </row>
    <row r="19" spans="1:20" ht="13">
      <c r="A19" s="76"/>
      <c r="B19" s="211" t="s">
        <v>22</v>
      </c>
      <c r="C19" s="91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219"/>
      <c r="P19" s="236"/>
      <c r="Q19" s="93"/>
      <c r="R19" s="93"/>
      <c r="S19" s="93"/>
      <c r="T19" s="237"/>
    </row>
    <row r="20" spans="1:20">
      <c r="B20" s="220" t="s">
        <v>0</v>
      </c>
      <c r="C20" s="91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219"/>
      <c r="P20" s="236"/>
      <c r="Q20" s="93"/>
      <c r="R20" s="93"/>
      <c r="S20" s="93"/>
      <c r="T20" s="237"/>
    </row>
    <row r="21" spans="1:20">
      <c r="B21" s="401" t="s">
        <v>5</v>
      </c>
      <c r="C21" s="366">
        <f>'Payroll &amp; related'!J48</f>
        <v>33.384857142857143</v>
      </c>
      <c r="D21" s="366">
        <f>'Payroll &amp; related'!K48</f>
        <v>33.384857142857143</v>
      </c>
      <c r="E21" s="366">
        <f>'Payroll &amp; related'!L48</f>
        <v>33.384857142857143</v>
      </c>
      <c r="F21" s="366">
        <f>'Payroll &amp; related'!M48</f>
        <v>40.803714285714285</v>
      </c>
      <c r="G21" s="366">
        <f>'Payroll &amp; related'!N48</f>
        <v>40.803714285714285</v>
      </c>
      <c r="H21" s="366">
        <f>'Payroll &amp; related'!O48</f>
        <v>40.803714285714285</v>
      </c>
      <c r="I21" s="366">
        <f>'Payroll &amp; related'!P48</f>
        <v>40.803714285714285</v>
      </c>
      <c r="J21" s="366">
        <f>'Payroll &amp; related'!Q48</f>
        <v>40.803714285714285</v>
      </c>
      <c r="K21" s="366">
        <f>'Payroll &amp; related'!R48</f>
        <v>40.803714285714285</v>
      </c>
      <c r="L21" s="366">
        <f>'Payroll &amp; related'!S48</f>
        <v>40.803714285714285</v>
      </c>
      <c r="M21" s="366">
        <f>'Payroll &amp; related'!T48</f>
        <v>40.803714285714285</v>
      </c>
      <c r="N21" s="383">
        <f>'Payroll &amp; related'!U48</f>
        <v>40.803714285714285</v>
      </c>
      <c r="P21" s="382">
        <f t="shared" ref="P21:P26" si="8">SUM(C21:E21)</f>
        <v>100.15457142857143</v>
      </c>
      <c r="Q21" s="366">
        <f t="shared" ref="Q21:Q26" si="9">SUM(F21:H21)</f>
        <v>122.41114285714286</v>
      </c>
      <c r="R21" s="366">
        <f t="shared" ref="R21:R26" si="10">SUM(I21:K21)</f>
        <v>122.41114285714286</v>
      </c>
      <c r="S21" s="366">
        <f t="shared" ref="S21:S26" si="11">SUM(L21:N21)</f>
        <v>122.41114285714286</v>
      </c>
      <c r="T21" s="381">
        <f>SUM(P21:S21)</f>
        <v>467.38800000000003</v>
      </c>
    </row>
    <row r="22" spans="1:20">
      <c r="B22" s="401" t="s">
        <v>51</v>
      </c>
      <c r="C22" s="366">
        <f>Expenses!D17</f>
        <v>2.5</v>
      </c>
      <c r="D22" s="366">
        <f>Expenses!E17</f>
        <v>2.5</v>
      </c>
      <c r="E22" s="366">
        <f>Expenses!F17</f>
        <v>2.5</v>
      </c>
      <c r="F22" s="366">
        <f>Expenses!G17</f>
        <v>2.5</v>
      </c>
      <c r="G22" s="366">
        <f>Expenses!H17</f>
        <v>2.5</v>
      </c>
      <c r="H22" s="366">
        <f>Expenses!I17</f>
        <v>2.5</v>
      </c>
      <c r="I22" s="366">
        <f>Expenses!J17</f>
        <v>2.5</v>
      </c>
      <c r="J22" s="366">
        <f>Expenses!K17</f>
        <v>2.5</v>
      </c>
      <c r="K22" s="366">
        <f>Expenses!L17</f>
        <v>2.5</v>
      </c>
      <c r="L22" s="366">
        <f>Expenses!M17</f>
        <v>2.5</v>
      </c>
      <c r="M22" s="366">
        <f>Expenses!N17</f>
        <v>2.5</v>
      </c>
      <c r="N22" s="383">
        <f>Expenses!O17</f>
        <v>2.5</v>
      </c>
      <c r="P22" s="382">
        <f t="shared" si="8"/>
        <v>7.5</v>
      </c>
      <c r="Q22" s="366">
        <f t="shared" si="9"/>
        <v>7.5</v>
      </c>
      <c r="R22" s="366">
        <f t="shared" si="10"/>
        <v>7.5</v>
      </c>
      <c r="S22" s="366">
        <f t="shared" si="11"/>
        <v>7.5</v>
      </c>
      <c r="T22" s="383">
        <f>SUM(P22:S22)</f>
        <v>30</v>
      </c>
    </row>
    <row r="23" spans="1:20">
      <c r="B23" s="398" t="s">
        <v>10</v>
      </c>
      <c r="C23" s="366">
        <f>Expenses!D60</f>
        <v>0</v>
      </c>
      <c r="D23" s="366">
        <f>Expenses!E60</f>
        <v>0</v>
      </c>
      <c r="E23" s="366">
        <f>Expenses!F60</f>
        <v>0</v>
      </c>
      <c r="F23" s="366">
        <f>Expenses!G60</f>
        <v>0</v>
      </c>
      <c r="G23" s="366">
        <f>Expenses!H60</f>
        <v>0</v>
      </c>
      <c r="H23" s="366">
        <f>Expenses!I60</f>
        <v>0</v>
      </c>
      <c r="I23" s="366">
        <f>Expenses!J60</f>
        <v>0</v>
      </c>
      <c r="J23" s="366">
        <f>Expenses!K60</f>
        <v>0</v>
      </c>
      <c r="K23" s="366">
        <f>Expenses!L60</f>
        <v>0</v>
      </c>
      <c r="L23" s="366">
        <f>Expenses!M60</f>
        <v>0</v>
      </c>
      <c r="M23" s="366">
        <f>Expenses!N60</f>
        <v>0</v>
      </c>
      <c r="N23" s="383">
        <f>Expenses!O60</f>
        <v>0</v>
      </c>
      <c r="P23" s="382">
        <f t="shared" si="8"/>
        <v>0</v>
      </c>
      <c r="Q23" s="366">
        <f t="shared" si="9"/>
        <v>0</v>
      </c>
      <c r="R23" s="366">
        <f t="shared" si="10"/>
        <v>0</v>
      </c>
      <c r="S23" s="366">
        <f t="shared" si="11"/>
        <v>0</v>
      </c>
      <c r="T23" s="383">
        <f>SUM(P23:S23)</f>
        <v>0</v>
      </c>
    </row>
    <row r="24" spans="1:20">
      <c r="B24" s="398" t="s">
        <v>8</v>
      </c>
      <c r="C24" s="366">
        <f>Expenses!D24</f>
        <v>2.5</v>
      </c>
      <c r="D24" s="366">
        <f>Expenses!E24</f>
        <v>2.5</v>
      </c>
      <c r="E24" s="366">
        <f>Expenses!F24</f>
        <v>2.5</v>
      </c>
      <c r="F24" s="366">
        <f>Expenses!G24</f>
        <v>2.5</v>
      </c>
      <c r="G24" s="366">
        <f>Expenses!H24</f>
        <v>2.5</v>
      </c>
      <c r="H24" s="366">
        <f>Expenses!I24</f>
        <v>2.5</v>
      </c>
      <c r="I24" s="366">
        <f>Expenses!J24</f>
        <v>2.5</v>
      </c>
      <c r="J24" s="366">
        <f>Expenses!K24</f>
        <v>2.5</v>
      </c>
      <c r="K24" s="366">
        <f>Expenses!L24</f>
        <v>2.5</v>
      </c>
      <c r="L24" s="366">
        <f>Expenses!M24</f>
        <v>2.5</v>
      </c>
      <c r="M24" s="366">
        <f>Expenses!N24</f>
        <v>2.5</v>
      </c>
      <c r="N24" s="383">
        <f>Expenses!O24</f>
        <v>2.5</v>
      </c>
      <c r="P24" s="382">
        <f t="shared" si="8"/>
        <v>7.5</v>
      </c>
      <c r="Q24" s="366">
        <f t="shared" si="9"/>
        <v>7.5</v>
      </c>
      <c r="R24" s="366">
        <f t="shared" si="10"/>
        <v>7.5</v>
      </c>
      <c r="S24" s="366">
        <f t="shared" si="11"/>
        <v>7.5</v>
      </c>
      <c r="T24" s="383">
        <f>SUM(P24:S24)</f>
        <v>30</v>
      </c>
    </row>
    <row r="25" spans="1:20">
      <c r="B25" s="401" t="s">
        <v>63</v>
      </c>
      <c r="C25" s="368">
        <f t="shared" ref="C25:N25" si="12">SUM(C$41:C$42)*C60/C$63</f>
        <v>13.441273015873016</v>
      </c>
      <c r="D25" s="368">
        <f t="shared" si="12"/>
        <v>13.30571746031746</v>
      </c>
      <c r="E25" s="368">
        <f t="shared" si="12"/>
        <v>12.515145714285714</v>
      </c>
      <c r="F25" s="368">
        <f t="shared" si="12"/>
        <v>14.31263988095238</v>
      </c>
      <c r="G25" s="368">
        <f t="shared" si="12"/>
        <v>13.269359890109889</v>
      </c>
      <c r="H25" s="368">
        <f t="shared" si="12"/>
        <v>13.673206043956043</v>
      </c>
      <c r="I25" s="368">
        <f t="shared" si="12"/>
        <v>13.673206043956043</v>
      </c>
      <c r="J25" s="368">
        <f t="shared" si="12"/>
        <v>13.42512912087912</v>
      </c>
      <c r="K25" s="368">
        <f t="shared" si="12"/>
        <v>13.540513736263733</v>
      </c>
      <c r="L25" s="368">
        <f t="shared" si="12"/>
        <v>13.638590659340654</v>
      </c>
      <c r="M25" s="368">
        <f t="shared" si="12"/>
        <v>13.621282967032965</v>
      </c>
      <c r="N25" s="400">
        <f t="shared" si="12"/>
        <v>13.834744505494504</v>
      </c>
      <c r="P25" s="384">
        <f t="shared" si="8"/>
        <v>39.262136190476191</v>
      </c>
      <c r="Q25" s="368">
        <f t="shared" si="9"/>
        <v>41.255205815018314</v>
      </c>
      <c r="R25" s="368">
        <f t="shared" si="10"/>
        <v>40.638848901098896</v>
      </c>
      <c r="S25" s="368">
        <f t="shared" si="11"/>
        <v>41.094618131868124</v>
      </c>
      <c r="T25" s="383">
        <f>SUM(P25:S25)</f>
        <v>162.25080903846151</v>
      </c>
    </row>
    <row r="26" spans="1:20">
      <c r="B26" s="401" t="s">
        <v>12</v>
      </c>
      <c r="C26" s="366">
        <f t="shared" ref="C26:H26" si="13">SUM(C21:C25)</f>
        <v>51.826130158730159</v>
      </c>
      <c r="D26" s="366">
        <f t="shared" si="13"/>
        <v>51.690574603174603</v>
      </c>
      <c r="E26" s="366">
        <f t="shared" si="13"/>
        <v>50.900002857142859</v>
      </c>
      <c r="F26" s="366">
        <f t="shared" si="13"/>
        <v>60.116354166666667</v>
      </c>
      <c r="G26" s="366">
        <f t="shared" si="13"/>
        <v>59.073074175824175</v>
      </c>
      <c r="H26" s="366">
        <f t="shared" si="13"/>
        <v>59.476920329670328</v>
      </c>
      <c r="I26" s="366">
        <f t="shared" ref="I26:N26" si="14">SUM(I21:I25)</f>
        <v>59.476920329670328</v>
      </c>
      <c r="J26" s="366">
        <f t="shared" si="14"/>
        <v>59.228843406593406</v>
      </c>
      <c r="K26" s="366">
        <f t="shared" si="14"/>
        <v>59.344228021978019</v>
      </c>
      <c r="L26" s="366">
        <f t="shared" si="14"/>
        <v>59.442304945054943</v>
      </c>
      <c r="M26" s="366">
        <f t="shared" si="14"/>
        <v>59.424997252747247</v>
      </c>
      <c r="N26" s="383">
        <f t="shared" si="14"/>
        <v>59.638458791208791</v>
      </c>
      <c r="P26" s="382">
        <f t="shared" si="8"/>
        <v>154.41670761904763</v>
      </c>
      <c r="Q26" s="366">
        <f t="shared" si="9"/>
        <v>178.66634867216118</v>
      </c>
      <c r="R26" s="366">
        <f t="shared" si="10"/>
        <v>178.04999175824176</v>
      </c>
      <c r="S26" s="366">
        <f t="shared" si="11"/>
        <v>178.50576098901098</v>
      </c>
      <c r="T26" s="385">
        <f>SUM(T21:T25)</f>
        <v>689.63880903846155</v>
      </c>
    </row>
    <row r="27" spans="1:20">
      <c r="B27" s="208"/>
      <c r="C27" s="94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212"/>
      <c r="P27" s="238"/>
      <c r="Q27" s="96"/>
      <c r="R27" s="96"/>
      <c r="S27" s="96"/>
      <c r="T27" s="214"/>
    </row>
    <row r="28" spans="1:20">
      <c r="B28" s="220" t="s">
        <v>9</v>
      </c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212"/>
      <c r="P28" s="238"/>
      <c r="Q28" s="96"/>
      <c r="R28" s="96"/>
      <c r="S28" s="96"/>
      <c r="T28" s="214"/>
    </row>
    <row r="29" spans="1:20">
      <c r="A29" s="77"/>
      <c r="B29" s="398" t="s">
        <v>5</v>
      </c>
      <c r="C29" s="370">
        <f>'Payroll &amp; related'!J49</f>
        <v>9.0250000000000004</v>
      </c>
      <c r="D29" s="370">
        <f>'Payroll &amp; related'!K49</f>
        <v>9.0250000000000004</v>
      </c>
      <c r="E29" s="370">
        <f>'Payroll &amp; related'!L49</f>
        <v>15.175000000000001</v>
      </c>
      <c r="F29" s="370">
        <f>'Payroll &amp; related'!M49</f>
        <v>21.325000000000003</v>
      </c>
      <c r="G29" s="370">
        <f>'Payroll &amp; related'!N49</f>
        <v>27.475000000000001</v>
      </c>
      <c r="H29" s="370">
        <f>'Payroll &amp; related'!O49</f>
        <v>27.475000000000001</v>
      </c>
      <c r="I29" s="370">
        <f>'Payroll &amp; related'!P49</f>
        <v>27.475000000000001</v>
      </c>
      <c r="J29" s="370">
        <f>'Payroll &amp; related'!Q49</f>
        <v>27.475000000000001</v>
      </c>
      <c r="K29" s="370">
        <f>'Payroll &amp; related'!R49</f>
        <v>27.475000000000001</v>
      </c>
      <c r="L29" s="370">
        <f>'Payroll &amp; related'!S49</f>
        <v>27.475000000000001</v>
      </c>
      <c r="M29" s="370">
        <f>'Payroll &amp; related'!T49</f>
        <v>27.475000000000001</v>
      </c>
      <c r="N29" s="387">
        <f>'Payroll &amp; related'!U49</f>
        <v>27.475000000000001</v>
      </c>
      <c r="P29" s="386">
        <f t="shared" ref="P29:P35" si="15">SUM(C29:E29)</f>
        <v>33.225000000000001</v>
      </c>
      <c r="Q29" s="370">
        <f t="shared" ref="Q29:Q35" si="16">SUM(F29:H29)</f>
        <v>76.275000000000006</v>
      </c>
      <c r="R29" s="370">
        <f t="shared" ref="R29:R35" si="17">SUM(I29:K29)</f>
        <v>82.425000000000011</v>
      </c>
      <c r="S29" s="370">
        <f t="shared" ref="S29:S35" si="18">SUM(L29:N29)</f>
        <v>82.425000000000011</v>
      </c>
      <c r="T29" s="387">
        <f t="shared" ref="T29:T34" si="19">SUM(P29:S29)</f>
        <v>274.35000000000002</v>
      </c>
    </row>
    <row r="30" spans="1:20">
      <c r="A30" s="77"/>
      <c r="B30" s="398" t="s">
        <v>98</v>
      </c>
      <c r="C30" s="370">
        <f>12%*C8</f>
        <v>16.2</v>
      </c>
      <c r="D30" s="370">
        <f t="shared" ref="D30:N30" si="20">12%*D8</f>
        <v>19</v>
      </c>
      <c r="E30" s="370">
        <f t="shared" si="20"/>
        <v>19.600000000000001</v>
      </c>
      <c r="F30" s="370">
        <f t="shared" si="20"/>
        <v>19.600000000000001</v>
      </c>
      <c r="G30" s="370">
        <f t="shared" si="20"/>
        <v>20.2</v>
      </c>
      <c r="H30" s="370">
        <f t="shared" si="20"/>
        <v>20.2</v>
      </c>
      <c r="I30" s="370">
        <f t="shared" si="20"/>
        <v>20.2</v>
      </c>
      <c r="J30" s="370">
        <f t="shared" si="20"/>
        <v>21.4</v>
      </c>
      <c r="K30" s="370">
        <f t="shared" si="20"/>
        <v>21.4</v>
      </c>
      <c r="L30" s="370">
        <f t="shared" si="20"/>
        <v>22.6</v>
      </c>
      <c r="M30" s="370">
        <f t="shared" si="20"/>
        <v>23.8</v>
      </c>
      <c r="N30" s="387">
        <f t="shared" si="20"/>
        <v>25</v>
      </c>
      <c r="P30" s="386">
        <f>SUM(C30:E30)</f>
        <v>54.800000000000004</v>
      </c>
      <c r="Q30" s="370">
        <f>SUM(F30:H30)</f>
        <v>60</v>
      </c>
      <c r="R30" s="370">
        <f>SUM(I30:K30)</f>
        <v>62.999999999999993</v>
      </c>
      <c r="S30" s="370">
        <f>SUM(L30:N30)</f>
        <v>71.400000000000006</v>
      </c>
      <c r="T30" s="387">
        <f t="shared" si="19"/>
        <v>249.20000000000002</v>
      </c>
    </row>
    <row r="31" spans="1:20">
      <c r="A31" s="77"/>
      <c r="B31" s="401" t="s">
        <v>51</v>
      </c>
      <c r="C31" s="370">
        <f>Expenses!D33</f>
        <v>15.5</v>
      </c>
      <c r="D31" s="370">
        <f>Expenses!E33</f>
        <v>15.5</v>
      </c>
      <c r="E31" s="370">
        <f>Expenses!F33</f>
        <v>15.5</v>
      </c>
      <c r="F31" s="370">
        <f>Expenses!G33</f>
        <v>15.5</v>
      </c>
      <c r="G31" s="370">
        <f>Expenses!H33</f>
        <v>15.5</v>
      </c>
      <c r="H31" s="370">
        <f>Expenses!I33</f>
        <v>15.5</v>
      </c>
      <c r="I31" s="370">
        <f>Expenses!J33</f>
        <v>15.5</v>
      </c>
      <c r="J31" s="370">
        <f>Expenses!K33</f>
        <v>15.5</v>
      </c>
      <c r="K31" s="370">
        <f>Expenses!L33</f>
        <v>15.5</v>
      </c>
      <c r="L31" s="370">
        <f>Expenses!M33</f>
        <v>15.5</v>
      </c>
      <c r="M31" s="370">
        <f>Expenses!N33</f>
        <v>15.5</v>
      </c>
      <c r="N31" s="387">
        <f>Expenses!O33</f>
        <v>15.5</v>
      </c>
      <c r="P31" s="386">
        <f t="shared" si="15"/>
        <v>46.5</v>
      </c>
      <c r="Q31" s="370">
        <f t="shared" si="16"/>
        <v>46.5</v>
      </c>
      <c r="R31" s="370">
        <f t="shared" si="17"/>
        <v>46.5</v>
      </c>
      <c r="S31" s="370">
        <f t="shared" si="18"/>
        <v>46.5</v>
      </c>
      <c r="T31" s="387">
        <f t="shared" si="19"/>
        <v>186</v>
      </c>
    </row>
    <row r="32" spans="1:20">
      <c r="A32" s="77"/>
      <c r="B32" s="398" t="s">
        <v>10</v>
      </c>
      <c r="C32" s="370">
        <f>Expenses!D61</f>
        <v>1</v>
      </c>
      <c r="D32" s="370">
        <f>Expenses!E61</f>
        <v>1</v>
      </c>
      <c r="E32" s="370">
        <f>Expenses!F61</f>
        <v>1</v>
      </c>
      <c r="F32" s="370">
        <f>Expenses!G61</f>
        <v>1</v>
      </c>
      <c r="G32" s="370">
        <f>Expenses!H61</f>
        <v>1</v>
      </c>
      <c r="H32" s="370">
        <f>Expenses!I61</f>
        <v>1</v>
      </c>
      <c r="I32" s="370">
        <f>Expenses!J61</f>
        <v>1</v>
      </c>
      <c r="J32" s="370">
        <f>Expenses!K61</f>
        <v>1</v>
      </c>
      <c r="K32" s="370">
        <f>Expenses!L61</f>
        <v>1</v>
      </c>
      <c r="L32" s="370">
        <f>Expenses!M61</f>
        <v>1</v>
      </c>
      <c r="M32" s="370">
        <f>Expenses!N61</f>
        <v>1</v>
      </c>
      <c r="N32" s="387">
        <f>Expenses!O61</f>
        <v>1</v>
      </c>
      <c r="P32" s="386">
        <f t="shared" si="15"/>
        <v>3</v>
      </c>
      <c r="Q32" s="370">
        <f t="shared" si="16"/>
        <v>3</v>
      </c>
      <c r="R32" s="370">
        <f t="shared" si="17"/>
        <v>3</v>
      </c>
      <c r="S32" s="370">
        <f t="shared" si="18"/>
        <v>3</v>
      </c>
      <c r="T32" s="387">
        <f t="shared" si="19"/>
        <v>12</v>
      </c>
    </row>
    <row r="33" spans="2:20">
      <c r="B33" s="398" t="s">
        <v>2</v>
      </c>
      <c r="C33" s="370">
        <f>SUM(Expenses!D37:D40)</f>
        <v>4</v>
      </c>
      <c r="D33" s="370">
        <f>SUM(Expenses!E37:E40)</f>
        <v>6</v>
      </c>
      <c r="E33" s="370">
        <f>SUM(Expenses!F37:F40)</f>
        <v>4</v>
      </c>
      <c r="F33" s="370">
        <f>SUM(Expenses!G37:G40)</f>
        <v>4</v>
      </c>
      <c r="G33" s="370">
        <f>SUM(Expenses!H37:H40)</f>
        <v>6</v>
      </c>
      <c r="H33" s="370">
        <f>SUM(Expenses!I37:I40)</f>
        <v>4</v>
      </c>
      <c r="I33" s="370">
        <f>SUM(Expenses!J37:J40)</f>
        <v>4</v>
      </c>
      <c r="J33" s="370">
        <f>SUM(Expenses!K37:K40)</f>
        <v>6</v>
      </c>
      <c r="K33" s="370">
        <f>SUM(Expenses!L37:L40)</f>
        <v>4</v>
      </c>
      <c r="L33" s="370">
        <f>SUM(Expenses!M37:M40)</f>
        <v>4</v>
      </c>
      <c r="M33" s="370">
        <f>SUM(Expenses!N37:N40)</f>
        <v>6</v>
      </c>
      <c r="N33" s="387">
        <f>SUM(Expenses!O37:O40)</f>
        <v>4</v>
      </c>
      <c r="P33" s="382">
        <f t="shared" si="15"/>
        <v>14</v>
      </c>
      <c r="Q33" s="366">
        <f t="shared" si="16"/>
        <v>14</v>
      </c>
      <c r="R33" s="366">
        <f t="shared" si="17"/>
        <v>14</v>
      </c>
      <c r="S33" s="366">
        <f t="shared" si="18"/>
        <v>14</v>
      </c>
      <c r="T33" s="387">
        <f t="shared" si="19"/>
        <v>56</v>
      </c>
    </row>
    <row r="34" spans="2:20">
      <c r="B34" s="401" t="s">
        <v>63</v>
      </c>
      <c r="C34" s="368">
        <f t="shared" ref="C34:N34" si="21">SUM(C$41:C$42)*C61/C$63</f>
        <v>3.3603182539682539</v>
      </c>
      <c r="D34" s="368">
        <f t="shared" si="21"/>
        <v>3.326429365079365</v>
      </c>
      <c r="E34" s="368">
        <f t="shared" si="21"/>
        <v>6.2575728571428568</v>
      </c>
      <c r="F34" s="368">
        <f t="shared" si="21"/>
        <v>8.5875839285714282</v>
      </c>
      <c r="G34" s="368">
        <f t="shared" si="21"/>
        <v>10.615487912087911</v>
      </c>
      <c r="H34" s="368">
        <f t="shared" si="21"/>
        <v>10.938564835164833</v>
      </c>
      <c r="I34" s="368">
        <f t="shared" si="21"/>
        <v>10.938564835164833</v>
      </c>
      <c r="J34" s="368">
        <f t="shared" si="21"/>
        <v>10.740103296703296</v>
      </c>
      <c r="K34" s="368">
        <f t="shared" si="21"/>
        <v>10.832410989010988</v>
      </c>
      <c r="L34" s="368">
        <f t="shared" si="21"/>
        <v>10.910872527472524</v>
      </c>
      <c r="M34" s="368">
        <f t="shared" si="21"/>
        <v>10.897026373626373</v>
      </c>
      <c r="N34" s="400">
        <f t="shared" si="21"/>
        <v>11.067795604395602</v>
      </c>
      <c r="P34" s="384">
        <f t="shared" si="15"/>
        <v>12.944320476190477</v>
      </c>
      <c r="Q34" s="368">
        <f t="shared" si="16"/>
        <v>30.141636675824174</v>
      </c>
      <c r="R34" s="368">
        <f t="shared" si="17"/>
        <v>32.511079120879117</v>
      </c>
      <c r="S34" s="368">
        <f t="shared" si="18"/>
        <v>32.875694505494494</v>
      </c>
      <c r="T34" s="387">
        <f t="shared" si="19"/>
        <v>108.47273077838827</v>
      </c>
    </row>
    <row r="35" spans="2:20">
      <c r="B35" s="401" t="s">
        <v>64</v>
      </c>
      <c r="C35" s="366">
        <f t="shared" ref="C35:N35" si="22">SUM(C29:C34)</f>
        <v>49.085318253968254</v>
      </c>
      <c r="D35" s="366">
        <f t="shared" si="22"/>
        <v>53.851429365079362</v>
      </c>
      <c r="E35" s="366">
        <f t="shared" si="22"/>
        <v>61.53257285714286</v>
      </c>
      <c r="F35" s="366">
        <f t="shared" si="22"/>
        <v>70.012583928571431</v>
      </c>
      <c r="G35" s="366">
        <f t="shared" si="22"/>
        <v>80.790487912087912</v>
      </c>
      <c r="H35" s="366">
        <f t="shared" si="22"/>
        <v>79.113564835164823</v>
      </c>
      <c r="I35" s="366">
        <f t="shared" si="22"/>
        <v>79.113564835164823</v>
      </c>
      <c r="J35" s="366">
        <f t="shared" si="22"/>
        <v>82.115103296703296</v>
      </c>
      <c r="K35" s="366">
        <f t="shared" si="22"/>
        <v>80.207410989010981</v>
      </c>
      <c r="L35" s="366">
        <f t="shared" si="22"/>
        <v>81.485872527472523</v>
      </c>
      <c r="M35" s="366">
        <f t="shared" si="22"/>
        <v>84.67202637362638</v>
      </c>
      <c r="N35" s="383">
        <f t="shared" si="22"/>
        <v>84.042795604395593</v>
      </c>
      <c r="P35" s="382">
        <f t="shared" si="15"/>
        <v>164.46932047619049</v>
      </c>
      <c r="Q35" s="366">
        <f t="shared" si="16"/>
        <v>229.91663667582418</v>
      </c>
      <c r="R35" s="366">
        <f t="shared" si="17"/>
        <v>241.4360791208791</v>
      </c>
      <c r="S35" s="366">
        <f t="shared" si="18"/>
        <v>250.20069450549451</v>
      </c>
      <c r="T35" s="385">
        <f>SUM(T29:T34)</f>
        <v>886.02273077838834</v>
      </c>
    </row>
    <row r="36" spans="2:20">
      <c r="B36" s="208"/>
      <c r="C36" s="94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212"/>
      <c r="P36" s="238"/>
      <c r="Q36" s="96"/>
      <c r="R36" s="96"/>
      <c r="S36" s="96"/>
      <c r="T36" s="214"/>
    </row>
    <row r="37" spans="2:20">
      <c r="B37" s="220" t="s">
        <v>1</v>
      </c>
      <c r="C37" s="94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212"/>
      <c r="P37" s="238"/>
      <c r="Q37" s="96"/>
      <c r="R37" s="96"/>
      <c r="S37" s="96"/>
      <c r="T37" s="214"/>
    </row>
    <row r="38" spans="2:20">
      <c r="B38" s="401" t="s">
        <v>5</v>
      </c>
      <c r="C38" s="366">
        <f>'Payroll &amp; related'!J50</f>
        <v>11.128285714285713</v>
      </c>
      <c r="D38" s="366">
        <f>'Payroll &amp; related'!K50</f>
        <v>11.128285714285713</v>
      </c>
      <c r="E38" s="366">
        <f>'Payroll &amp; related'!L50</f>
        <v>11.128285714285713</v>
      </c>
      <c r="F38" s="366">
        <f>'Payroll &amp; related'!M50</f>
        <v>11.128285714285713</v>
      </c>
      <c r="G38" s="366">
        <f>'Payroll &amp; related'!N50</f>
        <v>11.128285714285713</v>
      </c>
      <c r="H38" s="366">
        <f>'Payroll &amp; related'!O50</f>
        <v>11.128285714285713</v>
      </c>
      <c r="I38" s="366">
        <f>'Payroll &amp; related'!P50</f>
        <v>11.128285714285713</v>
      </c>
      <c r="J38" s="366">
        <f>'Payroll &amp; related'!Q50</f>
        <v>11.128285714285713</v>
      </c>
      <c r="K38" s="366">
        <f>'Payroll &amp; related'!R50</f>
        <v>11.128285714285713</v>
      </c>
      <c r="L38" s="366">
        <f>'Payroll &amp; related'!S50</f>
        <v>11.128285714285713</v>
      </c>
      <c r="M38" s="366">
        <f>'Payroll &amp; related'!T50</f>
        <v>11.128285714285713</v>
      </c>
      <c r="N38" s="383">
        <f>'Payroll &amp; related'!U50</f>
        <v>11.128285714285713</v>
      </c>
      <c r="P38" s="382">
        <f t="shared" ref="P38:P44" si="23">SUM(C38:E38)</f>
        <v>33.384857142857143</v>
      </c>
      <c r="Q38" s="366">
        <f t="shared" ref="Q38:Q44" si="24">SUM(F38:H38)</f>
        <v>33.384857142857143</v>
      </c>
      <c r="R38" s="366">
        <f t="shared" ref="R38:R44" si="25">SUM(I38:K38)</f>
        <v>33.384857142857143</v>
      </c>
      <c r="S38" s="366">
        <f t="shared" ref="S38:S44" si="26">SUM(L38:N38)</f>
        <v>33.384857142857143</v>
      </c>
      <c r="T38" s="383">
        <f t="shared" ref="T38:T43" si="27">SUM(P38:S38)</f>
        <v>133.53942857142857</v>
      </c>
    </row>
    <row r="39" spans="2:20">
      <c r="B39" s="401" t="s">
        <v>30</v>
      </c>
      <c r="C39" s="366">
        <f>Expenses!D55</f>
        <v>4</v>
      </c>
      <c r="D39" s="366">
        <f>Expenses!E55</f>
        <v>4</v>
      </c>
      <c r="E39" s="366">
        <f>Expenses!F55</f>
        <v>4</v>
      </c>
      <c r="F39" s="366">
        <f>Expenses!G55</f>
        <v>4</v>
      </c>
      <c r="G39" s="366">
        <f>Expenses!H55</f>
        <v>4</v>
      </c>
      <c r="H39" s="366">
        <f>Expenses!I55</f>
        <v>4</v>
      </c>
      <c r="I39" s="366">
        <f>Expenses!J55</f>
        <v>4</v>
      </c>
      <c r="J39" s="366">
        <f>Expenses!K55</f>
        <v>4</v>
      </c>
      <c r="K39" s="366">
        <f>Expenses!L55</f>
        <v>4</v>
      </c>
      <c r="L39" s="366">
        <f>Expenses!M55</f>
        <v>4</v>
      </c>
      <c r="M39" s="366">
        <f>Expenses!N55</f>
        <v>4</v>
      </c>
      <c r="N39" s="383">
        <f>Expenses!O55</f>
        <v>4</v>
      </c>
      <c r="P39" s="382">
        <f t="shared" si="23"/>
        <v>12</v>
      </c>
      <c r="Q39" s="366">
        <f t="shared" si="24"/>
        <v>12</v>
      </c>
      <c r="R39" s="366">
        <f t="shared" si="25"/>
        <v>12</v>
      </c>
      <c r="S39" s="366">
        <f t="shared" si="26"/>
        <v>12</v>
      </c>
      <c r="T39" s="383">
        <f t="shared" si="27"/>
        <v>48</v>
      </c>
    </row>
    <row r="40" spans="2:20">
      <c r="B40" s="401" t="s">
        <v>10</v>
      </c>
      <c r="C40" s="366">
        <f>Expenses!D62</f>
        <v>8</v>
      </c>
      <c r="D40" s="366">
        <f>Expenses!E62</f>
        <v>0</v>
      </c>
      <c r="E40" s="366">
        <f>Expenses!F62</f>
        <v>4</v>
      </c>
      <c r="F40" s="366">
        <f>Expenses!G62</f>
        <v>8</v>
      </c>
      <c r="G40" s="366">
        <f>Expenses!H62</f>
        <v>0</v>
      </c>
      <c r="H40" s="366">
        <f>Expenses!I62</f>
        <v>8</v>
      </c>
      <c r="I40" s="366">
        <f>Expenses!J62</f>
        <v>8</v>
      </c>
      <c r="J40" s="366">
        <f>Expenses!K62</f>
        <v>0</v>
      </c>
      <c r="K40" s="366">
        <f>Expenses!L62</f>
        <v>4</v>
      </c>
      <c r="L40" s="366">
        <f>Expenses!M62</f>
        <v>4</v>
      </c>
      <c r="M40" s="366">
        <f>Expenses!N62</f>
        <v>0</v>
      </c>
      <c r="N40" s="383">
        <f>Expenses!O62</f>
        <v>4</v>
      </c>
      <c r="P40" s="382">
        <f t="shared" si="23"/>
        <v>12</v>
      </c>
      <c r="Q40" s="366">
        <f t="shared" si="24"/>
        <v>16</v>
      </c>
      <c r="R40" s="366">
        <f t="shared" si="25"/>
        <v>12</v>
      </c>
      <c r="S40" s="366">
        <f t="shared" si="26"/>
        <v>8</v>
      </c>
      <c r="T40" s="383">
        <f t="shared" si="27"/>
        <v>48</v>
      </c>
    </row>
    <row r="41" spans="2:20">
      <c r="B41" s="401" t="s">
        <v>62</v>
      </c>
      <c r="C41" s="366">
        <f>Expenses!D48</f>
        <v>8.0705714285714283</v>
      </c>
      <c r="D41" s="366">
        <f>Expenses!E48</f>
        <v>8.0705714285714283</v>
      </c>
      <c r="E41" s="366">
        <f>Expenses!F48</f>
        <v>8.0705714285714283</v>
      </c>
      <c r="F41" s="366">
        <f>Expenses!G48</f>
        <v>8.4420000000000002</v>
      </c>
      <c r="G41" s="366">
        <f>Expenses!H48</f>
        <v>8.4420000000000002</v>
      </c>
      <c r="H41" s="366">
        <f>Expenses!I48</f>
        <v>8.4420000000000002</v>
      </c>
      <c r="I41" s="366">
        <f>Expenses!J48</f>
        <v>8.4420000000000002</v>
      </c>
      <c r="J41" s="366">
        <f>Expenses!K48</f>
        <v>8.4420000000000002</v>
      </c>
      <c r="K41" s="366">
        <f>Expenses!L48</f>
        <v>8.4420000000000002</v>
      </c>
      <c r="L41" s="366">
        <f>Expenses!M48</f>
        <v>8.4420000000000002</v>
      </c>
      <c r="M41" s="366">
        <f>Expenses!N48</f>
        <v>8.4420000000000002</v>
      </c>
      <c r="N41" s="383">
        <f>Expenses!O48</f>
        <v>8.4420000000000002</v>
      </c>
      <c r="P41" s="382">
        <f t="shared" si="23"/>
        <v>24.211714285714287</v>
      </c>
      <c r="Q41" s="366">
        <f t="shared" si="24"/>
        <v>25.326000000000001</v>
      </c>
      <c r="R41" s="366">
        <f t="shared" si="25"/>
        <v>25.326000000000001</v>
      </c>
      <c r="S41" s="366">
        <f t="shared" si="26"/>
        <v>25.326000000000001</v>
      </c>
      <c r="T41" s="383">
        <f t="shared" si="27"/>
        <v>100.18971428571427</v>
      </c>
    </row>
    <row r="42" spans="2:20">
      <c r="B42" s="401" t="s">
        <v>65</v>
      </c>
      <c r="C42" s="366">
        <f>SUM(C38:C41,C29:C33,C21:C24,C11:C13)*Assumptions!$C$20</f>
        <v>22.172292857142857</v>
      </c>
      <c r="D42" s="366">
        <f>SUM(D38:D41,D29:D33,D21:D24,D11:D13)*Assumptions!$C$20</f>
        <v>21.867292857142854</v>
      </c>
      <c r="E42" s="366">
        <f>SUM(E38:E41,E29:E33,E21:E24,E11:E13)*Assumptions!$C$20</f>
        <v>23.217292857142859</v>
      </c>
      <c r="F42" s="366">
        <f>SUM(F38:F41,F29:F33,F21:F24,F11:F13)*Assumptions!$C$20</f>
        <v>25.908335714285712</v>
      </c>
      <c r="G42" s="366">
        <f>SUM(G38:G41,G29:G33,G21:G24,G11:G13)*Assumptions!$C$20</f>
        <v>26.058335714285711</v>
      </c>
      <c r="H42" s="366">
        <f>SUM(H38:H41,H29:H33,H21:H24,H11:H13)*Assumptions!$C$20</f>
        <v>27.108335714285712</v>
      </c>
      <c r="I42" s="366">
        <f>SUM(I38:I41,I29:I33,I21:I24,I11:I13)*Assumptions!$C$20</f>
        <v>27.108335714285712</v>
      </c>
      <c r="J42" s="366">
        <f>SUM(J38:J41,J29:J33,J21:J24,J11:J13)*Assumptions!$C$20</f>
        <v>26.463335714285709</v>
      </c>
      <c r="K42" s="366">
        <f>SUM(K38:K41,K29:K33,K21:K24,K11:K13)*Assumptions!$C$20</f>
        <v>26.763335714285709</v>
      </c>
      <c r="L42" s="366">
        <f>SUM(L38:L41,L29:L33,L21:L24,L11:L13)*Assumptions!$C$20</f>
        <v>27.018335714285708</v>
      </c>
      <c r="M42" s="366">
        <f>SUM(M38:M41,M29:M33,M21:M24,M11:M13)*Assumptions!$C$20</f>
        <v>26.97333571428571</v>
      </c>
      <c r="N42" s="383">
        <f>SUM(N38:N41,N29:N33,N21:N24,N11:N13)*Assumptions!$C$20</f>
        <v>27.52833571428571</v>
      </c>
      <c r="P42" s="382">
        <f t="shared" si="23"/>
        <v>67.256878571428558</v>
      </c>
      <c r="Q42" s="366">
        <f t="shared" si="24"/>
        <v>79.075007142857132</v>
      </c>
      <c r="R42" s="366">
        <f t="shared" si="25"/>
        <v>80.335007142857137</v>
      </c>
      <c r="S42" s="366">
        <f t="shared" si="26"/>
        <v>81.520007142857139</v>
      </c>
      <c r="T42" s="383">
        <f t="shared" si="27"/>
        <v>308.18689999999998</v>
      </c>
    </row>
    <row r="43" spans="2:20">
      <c r="B43" s="401" t="s">
        <v>63</v>
      </c>
      <c r="C43" s="372">
        <f t="shared" ref="C43:N43" si="28">-SUM(C14,C25,C34)</f>
        <v>-26.882546031746031</v>
      </c>
      <c r="D43" s="372">
        <f t="shared" si="28"/>
        <v>-26.61143492063492</v>
      </c>
      <c r="E43" s="372">
        <f t="shared" si="28"/>
        <v>-28.159077857142858</v>
      </c>
      <c r="F43" s="372">
        <f t="shared" si="28"/>
        <v>-31.487807738095235</v>
      </c>
      <c r="G43" s="372">
        <f t="shared" si="28"/>
        <v>-31.846463736263733</v>
      </c>
      <c r="H43" s="372">
        <f t="shared" si="28"/>
        <v>-32.815694505494498</v>
      </c>
      <c r="I43" s="372">
        <f t="shared" si="28"/>
        <v>-32.815694505494498</v>
      </c>
      <c r="J43" s="372">
        <f t="shared" si="28"/>
        <v>-32.220309890109888</v>
      </c>
      <c r="K43" s="372">
        <f t="shared" si="28"/>
        <v>-32.497232967032964</v>
      </c>
      <c r="L43" s="372">
        <f t="shared" si="28"/>
        <v>-32.732617582417575</v>
      </c>
      <c r="M43" s="372">
        <f t="shared" si="28"/>
        <v>-32.691079120879117</v>
      </c>
      <c r="N43" s="389">
        <f t="shared" si="28"/>
        <v>-33.20338681318681</v>
      </c>
      <c r="P43" s="388">
        <f t="shared" si="23"/>
        <v>-81.653058809523813</v>
      </c>
      <c r="Q43" s="372">
        <f t="shared" si="24"/>
        <v>-96.149965979853476</v>
      </c>
      <c r="R43" s="372">
        <f t="shared" si="25"/>
        <v>-97.533237362637351</v>
      </c>
      <c r="S43" s="372">
        <f t="shared" si="26"/>
        <v>-98.627083516483495</v>
      </c>
      <c r="T43" s="389">
        <f t="shared" si="27"/>
        <v>-373.96334566849811</v>
      </c>
    </row>
    <row r="44" spans="2:20" s="86" customFormat="1">
      <c r="B44" s="401" t="s">
        <v>13</v>
      </c>
      <c r="C44" s="366">
        <f t="shared" ref="C44:N44" si="29">SUM(C38:C43)</f>
        <v>26.488603968253969</v>
      </c>
      <c r="D44" s="366">
        <f t="shared" si="29"/>
        <v>18.454715079365073</v>
      </c>
      <c r="E44" s="366">
        <f t="shared" si="29"/>
        <v>22.257072142857144</v>
      </c>
      <c r="F44" s="366">
        <f t="shared" si="29"/>
        <v>25.990813690476195</v>
      </c>
      <c r="G44" s="366">
        <f t="shared" si="29"/>
        <v>17.782157692307688</v>
      </c>
      <c r="H44" s="366">
        <f t="shared" si="29"/>
        <v>25.862926923076927</v>
      </c>
      <c r="I44" s="366">
        <f t="shared" si="29"/>
        <v>25.862926923076927</v>
      </c>
      <c r="J44" s="366">
        <f t="shared" si="29"/>
        <v>17.813311538461534</v>
      </c>
      <c r="K44" s="366">
        <f t="shared" si="29"/>
        <v>21.836388461538455</v>
      </c>
      <c r="L44" s="366">
        <f t="shared" si="29"/>
        <v>21.856003846153847</v>
      </c>
      <c r="M44" s="366">
        <f t="shared" si="29"/>
        <v>17.85254230769231</v>
      </c>
      <c r="N44" s="383">
        <f t="shared" si="29"/>
        <v>21.895234615384609</v>
      </c>
      <c r="P44" s="382">
        <f t="shared" si="23"/>
        <v>67.200391190476182</v>
      </c>
      <c r="Q44" s="366">
        <f t="shared" si="24"/>
        <v>69.635898305860806</v>
      </c>
      <c r="R44" s="366">
        <f t="shared" si="25"/>
        <v>65.512626923076908</v>
      </c>
      <c r="S44" s="366">
        <f t="shared" si="26"/>
        <v>61.603780769230767</v>
      </c>
      <c r="T44" s="383">
        <f>SUM(T38:T43)</f>
        <v>263.95269718864478</v>
      </c>
    </row>
    <row r="45" spans="2:20">
      <c r="B45" s="208"/>
      <c r="C45" s="94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212"/>
      <c r="O45" s="95"/>
      <c r="P45" s="238"/>
      <c r="Q45" s="96"/>
      <c r="R45" s="96"/>
      <c r="S45" s="96"/>
      <c r="T45" s="214"/>
    </row>
    <row r="46" spans="2:20" s="86" customFormat="1" ht="13">
      <c r="B46" s="402" t="s">
        <v>29</v>
      </c>
      <c r="C46" s="374">
        <f t="shared" ref="C46:N46" si="30">SUM(C26,C35,C44)</f>
        <v>127.40005238095237</v>
      </c>
      <c r="D46" s="374">
        <f t="shared" si="30"/>
        <v>123.99671904761904</v>
      </c>
      <c r="E46" s="374">
        <f t="shared" si="30"/>
        <v>134.68964785714286</v>
      </c>
      <c r="F46" s="374">
        <f t="shared" si="30"/>
        <v>156.11975178571427</v>
      </c>
      <c r="G46" s="374">
        <f t="shared" si="30"/>
        <v>157.64571978021979</v>
      </c>
      <c r="H46" s="374">
        <f t="shared" si="30"/>
        <v>164.45341208791206</v>
      </c>
      <c r="I46" s="374">
        <f t="shared" si="30"/>
        <v>164.45341208791206</v>
      </c>
      <c r="J46" s="374">
        <f t="shared" si="30"/>
        <v>159.15725824175823</v>
      </c>
      <c r="K46" s="374">
        <f t="shared" si="30"/>
        <v>161.38802747252745</v>
      </c>
      <c r="L46" s="374">
        <f t="shared" si="30"/>
        <v>162.78418131868131</v>
      </c>
      <c r="M46" s="374">
        <f t="shared" si="30"/>
        <v>161.94956593406596</v>
      </c>
      <c r="N46" s="403">
        <f t="shared" si="30"/>
        <v>165.57648901098901</v>
      </c>
      <c r="O46" s="83"/>
      <c r="P46" s="390">
        <f>SUM(C46:E46)</f>
        <v>386.08641928571427</v>
      </c>
      <c r="Q46" s="375">
        <f>SUM(F46:H46)</f>
        <v>478.21888365384609</v>
      </c>
      <c r="R46" s="375">
        <f>SUM(I46:K46)</f>
        <v>484.99869780219774</v>
      </c>
      <c r="S46" s="375">
        <f>SUM(L46:N46)</f>
        <v>490.31023626373627</v>
      </c>
      <c r="T46" s="391">
        <f>SUM(P46:S46)</f>
        <v>1839.6142370054943</v>
      </c>
    </row>
    <row r="47" spans="2:20" ht="13">
      <c r="B47" s="208"/>
      <c r="C47" s="97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221"/>
      <c r="O47" s="76"/>
      <c r="P47" s="239"/>
      <c r="Q47" s="99"/>
      <c r="R47" s="99"/>
      <c r="S47" s="99"/>
      <c r="T47" s="240"/>
    </row>
    <row r="48" spans="2:20" s="86" customFormat="1" ht="13">
      <c r="B48" s="222" t="s">
        <v>37</v>
      </c>
      <c r="C48" s="100">
        <f t="shared" ref="C48:N48" si="31">(C17-C46)</f>
        <v>-34.987578571428571</v>
      </c>
      <c r="D48" s="100">
        <f t="shared" si="31"/>
        <v>-9.3159119047618901</v>
      </c>
      <c r="E48" s="100">
        <f t="shared" si="31"/>
        <v>-14.665911904761899</v>
      </c>
      <c r="F48" s="100">
        <f t="shared" si="31"/>
        <v>-35.297240476190453</v>
      </c>
      <c r="G48" s="100">
        <f t="shared" si="31"/>
        <v>-31.447240476190473</v>
      </c>
      <c r="H48" s="100">
        <f t="shared" si="31"/>
        <v>-39.497240476190427</v>
      </c>
      <c r="I48" s="100">
        <f t="shared" si="31"/>
        <v>-39.497240476190427</v>
      </c>
      <c r="J48" s="100">
        <f t="shared" si="31"/>
        <v>-24.552240476190462</v>
      </c>
      <c r="K48" s="100">
        <f t="shared" si="31"/>
        <v>-26.852240476190445</v>
      </c>
      <c r="L48" s="100">
        <f t="shared" si="31"/>
        <v>-18.807240476190458</v>
      </c>
      <c r="M48" s="100">
        <f t="shared" si="31"/>
        <v>-8.4622404761904875</v>
      </c>
      <c r="N48" s="223">
        <f t="shared" si="31"/>
        <v>-2.7172404761904545</v>
      </c>
      <c r="O48" s="83"/>
      <c r="P48" s="241">
        <f>SUM(C48:E48)</f>
        <v>-58.96940238095236</v>
      </c>
      <c r="Q48" s="101">
        <f>SUM(F48:H48)</f>
        <v>-106.24172142857135</v>
      </c>
      <c r="R48" s="101">
        <f>SUM(I48:K48)</f>
        <v>-90.901721428571335</v>
      </c>
      <c r="S48" s="101">
        <f>SUM(L48:N48)</f>
        <v>-29.9867214285714</v>
      </c>
      <c r="T48" s="242">
        <f>SUM(P48:S48)</f>
        <v>-286.09956666666642</v>
      </c>
    </row>
    <row r="49" spans="2:20" s="86" customFormat="1" ht="13">
      <c r="B49" s="222" t="s">
        <v>28</v>
      </c>
      <c r="C49" s="100">
        <f>-Expenses!D71</f>
        <v>-0.5</v>
      </c>
      <c r="D49" s="100">
        <f>-Expenses!E71</f>
        <v>-1.4</v>
      </c>
      <c r="E49" s="100">
        <f>-Expenses!F71</f>
        <v>-4.3</v>
      </c>
      <c r="F49" s="100">
        <f>-Expenses!G71</f>
        <v>-7.3</v>
      </c>
      <c r="G49" s="100">
        <f>-Expenses!H71</f>
        <v>-4.5999999999999996</v>
      </c>
      <c r="H49" s="100">
        <f>-Expenses!I71</f>
        <v>-1.8</v>
      </c>
      <c r="I49" s="100">
        <f>-Expenses!J71</f>
        <v>-1.8</v>
      </c>
      <c r="J49" s="100">
        <f>-Expenses!K71</f>
        <v>-1.8</v>
      </c>
      <c r="K49" s="100">
        <f>-Expenses!L71</f>
        <v>-1.8</v>
      </c>
      <c r="L49" s="100">
        <f>-Expenses!M71</f>
        <v>-1.8</v>
      </c>
      <c r="M49" s="100">
        <f>-Expenses!N71</f>
        <v>-1.8</v>
      </c>
      <c r="N49" s="223">
        <f>-Expenses!O71</f>
        <v>-1.8</v>
      </c>
      <c r="O49" s="83"/>
      <c r="P49" s="241">
        <f>SUM(C49:E49)</f>
        <v>-6.1999999999999993</v>
      </c>
      <c r="Q49" s="101">
        <f>SUM(F49:H49)</f>
        <v>-13.7</v>
      </c>
      <c r="R49" s="101">
        <f>SUM(I49:K49)</f>
        <v>-5.4</v>
      </c>
      <c r="S49" s="101">
        <f>SUM(L49:N49)</f>
        <v>-5.4</v>
      </c>
      <c r="T49" s="242">
        <f>SUM(P49:S49)</f>
        <v>-30.699999999999996</v>
      </c>
    </row>
    <row r="50" spans="2:20" ht="13">
      <c r="B50" s="224" t="s">
        <v>99</v>
      </c>
      <c r="C50" s="169">
        <f t="shared" ref="C50:N50" si="32">C48+C49</f>
        <v>-35.487578571428571</v>
      </c>
      <c r="D50" s="169">
        <f t="shared" si="32"/>
        <v>-10.71591190476189</v>
      </c>
      <c r="E50" s="169">
        <f t="shared" si="32"/>
        <v>-18.965911904761899</v>
      </c>
      <c r="F50" s="169">
        <f t="shared" si="32"/>
        <v>-42.59724047619045</v>
      </c>
      <c r="G50" s="169">
        <f t="shared" si="32"/>
        <v>-36.047240476190474</v>
      </c>
      <c r="H50" s="169">
        <f t="shared" si="32"/>
        <v>-41.297240476190424</v>
      </c>
      <c r="I50" s="169">
        <f t="shared" si="32"/>
        <v>-41.297240476190424</v>
      </c>
      <c r="J50" s="169">
        <f t="shared" si="32"/>
        <v>-26.352240476190463</v>
      </c>
      <c r="K50" s="169">
        <f t="shared" si="32"/>
        <v>-28.652240476190446</v>
      </c>
      <c r="L50" s="169">
        <f t="shared" si="32"/>
        <v>-20.607240476190459</v>
      </c>
      <c r="M50" s="169">
        <f t="shared" si="32"/>
        <v>-10.262240476190488</v>
      </c>
      <c r="N50" s="225">
        <f t="shared" si="32"/>
        <v>-4.5172404761904543</v>
      </c>
      <c r="O50" s="76"/>
      <c r="P50" s="392">
        <f>SUM(C50:E50)</f>
        <v>-65.169402380952363</v>
      </c>
      <c r="Q50" s="373">
        <f>SUM(F50:H50)</f>
        <v>-119.94172142857134</v>
      </c>
      <c r="R50" s="373">
        <f>SUM(I50:K50)</f>
        <v>-96.301721428571327</v>
      </c>
      <c r="S50" s="373">
        <f>SUM(L50:N50)</f>
        <v>-35.386721428571398</v>
      </c>
      <c r="T50" s="393">
        <f>SUM(P50:S50)</f>
        <v>-316.79956666666641</v>
      </c>
    </row>
    <row r="51" spans="2:20" ht="13">
      <c r="B51" s="211" t="s">
        <v>114</v>
      </c>
      <c r="C51" s="94"/>
      <c r="D51" s="95"/>
      <c r="E51" s="159"/>
      <c r="F51" s="159"/>
      <c r="G51" s="95"/>
      <c r="H51" s="95"/>
      <c r="I51" s="95"/>
      <c r="J51" s="95"/>
      <c r="K51" s="95"/>
      <c r="L51" s="95"/>
      <c r="M51" s="95"/>
      <c r="N51" s="212"/>
      <c r="P51" s="394">
        <f>SUM(C51:E51)</f>
        <v>0</v>
      </c>
      <c r="Q51" s="371">
        <f>SUM(F51:H51)</f>
        <v>0</v>
      </c>
      <c r="R51" s="371">
        <f>SUM(I51:K51)</f>
        <v>0</v>
      </c>
      <c r="S51" s="371">
        <f>SUM(L51:N51)</f>
        <v>0</v>
      </c>
      <c r="T51" s="385">
        <f>SUM(P51:S51)</f>
        <v>0</v>
      </c>
    </row>
    <row r="52" spans="2:20" ht="13" thickBot="1">
      <c r="B52" s="208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210"/>
      <c r="P52" s="243"/>
      <c r="Q52" s="78"/>
      <c r="R52" s="78"/>
      <c r="S52" s="78"/>
      <c r="T52" s="244"/>
    </row>
    <row r="53" spans="2:20" ht="13.5" thickBot="1">
      <c r="B53" s="291" t="s">
        <v>113</v>
      </c>
      <c r="C53" s="292">
        <f>Assumptions!C24/1000+'Monthly P&amp;L'!C50+C51</f>
        <v>964.51242142857143</v>
      </c>
      <c r="D53" s="292">
        <f t="shared" ref="D53:N53" si="33">C53+D50+D51</f>
        <v>953.7965095238095</v>
      </c>
      <c r="E53" s="292">
        <f t="shared" si="33"/>
        <v>934.83059761904758</v>
      </c>
      <c r="F53" s="292">
        <f t="shared" si="33"/>
        <v>892.23335714285713</v>
      </c>
      <c r="G53" s="292">
        <f t="shared" si="33"/>
        <v>856.18611666666663</v>
      </c>
      <c r="H53" s="292">
        <f t="shared" si="33"/>
        <v>814.88887619047625</v>
      </c>
      <c r="I53" s="292">
        <f t="shared" si="33"/>
        <v>773.59163571428587</v>
      </c>
      <c r="J53" s="292">
        <f t="shared" si="33"/>
        <v>747.23939523809543</v>
      </c>
      <c r="K53" s="292">
        <f t="shared" si="33"/>
        <v>718.58715476190503</v>
      </c>
      <c r="L53" s="292">
        <f t="shared" si="33"/>
        <v>697.97991428571459</v>
      </c>
      <c r="M53" s="292">
        <f t="shared" si="33"/>
        <v>687.71767380952406</v>
      </c>
      <c r="N53" s="293">
        <f t="shared" si="33"/>
        <v>683.20043333333365</v>
      </c>
      <c r="P53" s="294">
        <f>E53</f>
        <v>934.83059761904758</v>
      </c>
      <c r="Q53" s="295">
        <f>H53</f>
        <v>814.88887619047625</v>
      </c>
      <c r="R53" s="295">
        <f>K53</f>
        <v>718.58715476190503</v>
      </c>
      <c r="S53" s="295">
        <f>N53</f>
        <v>683.20043333333365</v>
      </c>
      <c r="T53" s="296">
        <f>S53</f>
        <v>683.20043333333365</v>
      </c>
    </row>
    <row r="54" spans="2:20">
      <c r="B54" s="77"/>
    </row>
    <row r="55" spans="2:20">
      <c r="B55" s="77"/>
    </row>
    <row r="58" spans="2:20" ht="13.5" thickBot="1">
      <c r="B58" s="177" t="s">
        <v>120</v>
      </c>
    </row>
    <row r="59" spans="2:20">
      <c r="B59" s="209" t="s">
        <v>34</v>
      </c>
      <c r="C59" s="417">
        <f>'Payroll &amp; related'!J24</f>
        <v>3</v>
      </c>
      <c r="D59" s="417">
        <f>'Payroll &amp; related'!K24</f>
        <v>3</v>
      </c>
      <c r="E59" s="417">
        <f>'Payroll &amp; related'!L24</f>
        <v>3</v>
      </c>
      <c r="F59" s="417">
        <f>'Payroll &amp; related'!M24</f>
        <v>3</v>
      </c>
      <c r="G59" s="417">
        <f>'Payroll &amp; related'!N24</f>
        <v>3</v>
      </c>
      <c r="H59" s="417">
        <f>'Payroll &amp; related'!O24</f>
        <v>3</v>
      </c>
      <c r="I59" s="417">
        <f>'Payroll &amp; related'!P24</f>
        <v>3</v>
      </c>
      <c r="J59" s="417">
        <f>'Payroll &amp; related'!Q24</f>
        <v>3</v>
      </c>
      <c r="K59" s="417">
        <f>'Payroll &amp; related'!R24</f>
        <v>3</v>
      </c>
      <c r="L59" s="417">
        <f>'Payroll &amp; related'!S24</f>
        <v>3</v>
      </c>
      <c r="M59" s="417">
        <f>'Payroll &amp; related'!T24</f>
        <v>3</v>
      </c>
      <c r="N59" s="418">
        <f>'Payroll &amp; related'!U24</f>
        <v>3</v>
      </c>
      <c r="P59" s="406">
        <f>E59</f>
        <v>3</v>
      </c>
      <c r="Q59" s="407">
        <f>H59</f>
        <v>3</v>
      </c>
      <c r="R59" s="407">
        <f>K59</f>
        <v>3</v>
      </c>
      <c r="S59" s="407">
        <f>N59</f>
        <v>3</v>
      </c>
      <c r="T59" s="408">
        <f>N59</f>
        <v>3</v>
      </c>
    </row>
    <row r="60" spans="2:20">
      <c r="B60" s="208" t="s">
        <v>0</v>
      </c>
      <c r="C60" s="367">
        <f>'Payroll &amp; related'!J25</f>
        <v>4</v>
      </c>
      <c r="D60" s="367">
        <f>'Payroll &amp; related'!K25</f>
        <v>4</v>
      </c>
      <c r="E60" s="367">
        <f>'Payroll &amp; related'!L25</f>
        <v>4</v>
      </c>
      <c r="F60" s="367">
        <f>'Payroll &amp; related'!M25</f>
        <v>5</v>
      </c>
      <c r="G60" s="367">
        <f>'Payroll &amp; related'!N25</f>
        <v>5</v>
      </c>
      <c r="H60" s="367">
        <f>'Payroll &amp; related'!O25</f>
        <v>5</v>
      </c>
      <c r="I60" s="367">
        <f>'Payroll &amp; related'!P25</f>
        <v>5</v>
      </c>
      <c r="J60" s="367">
        <f>'Payroll &amp; related'!Q25</f>
        <v>5</v>
      </c>
      <c r="K60" s="367">
        <f>'Payroll &amp; related'!R25</f>
        <v>5</v>
      </c>
      <c r="L60" s="367">
        <f>'Payroll &amp; related'!S25</f>
        <v>5</v>
      </c>
      <c r="M60" s="367">
        <f>'Payroll &amp; related'!T25</f>
        <v>5</v>
      </c>
      <c r="N60" s="419">
        <f>'Payroll &amp; related'!U25</f>
        <v>5</v>
      </c>
      <c r="P60" s="409">
        <f>E60</f>
        <v>4</v>
      </c>
      <c r="Q60" s="405">
        <f>H60</f>
        <v>5</v>
      </c>
      <c r="R60" s="405">
        <f>K60</f>
        <v>5</v>
      </c>
      <c r="S60" s="405">
        <f>N60</f>
        <v>5</v>
      </c>
      <c r="T60" s="410">
        <f>N60</f>
        <v>5</v>
      </c>
    </row>
    <row r="61" spans="2:20">
      <c r="B61" s="208" t="s">
        <v>39</v>
      </c>
      <c r="C61" s="367">
        <f>'Payroll &amp; related'!J26</f>
        <v>1</v>
      </c>
      <c r="D61" s="367">
        <f>'Payroll &amp; related'!K26</f>
        <v>1</v>
      </c>
      <c r="E61" s="367">
        <f>'Payroll &amp; related'!L26</f>
        <v>2</v>
      </c>
      <c r="F61" s="367">
        <f>'Payroll &amp; related'!M26</f>
        <v>3</v>
      </c>
      <c r="G61" s="367">
        <f>'Payroll &amp; related'!N26</f>
        <v>4</v>
      </c>
      <c r="H61" s="367">
        <f>'Payroll &amp; related'!O26</f>
        <v>4</v>
      </c>
      <c r="I61" s="367">
        <f>'Payroll &amp; related'!P26</f>
        <v>4</v>
      </c>
      <c r="J61" s="367">
        <f>'Payroll &amp; related'!Q26</f>
        <v>4</v>
      </c>
      <c r="K61" s="367">
        <f>'Payroll &amp; related'!R26</f>
        <v>4</v>
      </c>
      <c r="L61" s="367">
        <f>'Payroll &amp; related'!S26</f>
        <v>4</v>
      </c>
      <c r="M61" s="367">
        <f>'Payroll &amp; related'!T26</f>
        <v>4</v>
      </c>
      <c r="N61" s="419">
        <f>'Payroll &amp; related'!U26</f>
        <v>4</v>
      </c>
      <c r="P61" s="409">
        <f>E61</f>
        <v>2</v>
      </c>
      <c r="Q61" s="405">
        <f>H61</f>
        <v>4</v>
      </c>
      <c r="R61" s="405">
        <f>K61</f>
        <v>4</v>
      </c>
      <c r="S61" s="405">
        <f>N61</f>
        <v>4</v>
      </c>
      <c r="T61" s="410">
        <f>N61</f>
        <v>4</v>
      </c>
    </row>
    <row r="62" spans="2:20" ht="13" thickBot="1">
      <c r="B62" s="208" t="s">
        <v>1</v>
      </c>
      <c r="C62" s="420">
        <f>'Payroll &amp; related'!J27</f>
        <v>1</v>
      </c>
      <c r="D62" s="420">
        <f>'Payroll &amp; related'!K27</f>
        <v>1</v>
      </c>
      <c r="E62" s="420">
        <f>'Payroll &amp; related'!L27</f>
        <v>1</v>
      </c>
      <c r="F62" s="420">
        <f>'Payroll &amp; related'!M27</f>
        <v>1</v>
      </c>
      <c r="G62" s="420">
        <f>'Payroll &amp; related'!N27</f>
        <v>1</v>
      </c>
      <c r="H62" s="420">
        <f>'Payroll &amp; related'!O27</f>
        <v>1</v>
      </c>
      <c r="I62" s="420">
        <f>'Payroll &amp; related'!P27</f>
        <v>1</v>
      </c>
      <c r="J62" s="420">
        <f>'Payroll &amp; related'!Q27</f>
        <v>1</v>
      </c>
      <c r="K62" s="420">
        <f>'Payroll &amp; related'!R27</f>
        <v>1</v>
      </c>
      <c r="L62" s="420">
        <f>'Payroll &amp; related'!S27</f>
        <v>1</v>
      </c>
      <c r="M62" s="420">
        <f>'Payroll &amp; related'!T27</f>
        <v>1</v>
      </c>
      <c r="N62" s="421">
        <f>'Payroll &amp; related'!U27</f>
        <v>1</v>
      </c>
      <c r="P62" s="411">
        <f>E62</f>
        <v>1</v>
      </c>
      <c r="Q62" s="412">
        <f>H62</f>
        <v>1</v>
      </c>
      <c r="R62" s="412">
        <f>K62</f>
        <v>1</v>
      </c>
      <c r="S62" s="412">
        <f>N62</f>
        <v>1</v>
      </c>
      <c r="T62" s="413">
        <f>N62</f>
        <v>1</v>
      </c>
    </row>
    <row r="63" spans="2:20" ht="13" thickBot="1">
      <c r="B63" s="404" t="s">
        <v>31</v>
      </c>
      <c r="C63" s="415">
        <f>SUM(C59:C62)</f>
        <v>9</v>
      </c>
      <c r="D63" s="415">
        <f t="shared" ref="D63:N63" si="34">SUM(D59:D62)</f>
        <v>9</v>
      </c>
      <c r="E63" s="415">
        <f t="shared" si="34"/>
        <v>10</v>
      </c>
      <c r="F63" s="415">
        <f t="shared" si="34"/>
        <v>12</v>
      </c>
      <c r="G63" s="415">
        <f t="shared" si="34"/>
        <v>13</v>
      </c>
      <c r="H63" s="415">
        <f t="shared" si="34"/>
        <v>13</v>
      </c>
      <c r="I63" s="415">
        <f t="shared" si="34"/>
        <v>13</v>
      </c>
      <c r="J63" s="415">
        <f t="shared" si="34"/>
        <v>13</v>
      </c>
      <c r="K63" s="415">
        <f t="shared" si="34"/>
        <v>13</v>
      </c>
      <c r="L63" s="415">
        <f t="shared" si="34"/>
        <v>13</v>
      </c>
      <c r="M63" s="415">
        <f t="shared" si="34"/>
        <v>13</v>
      </c>
      <c r="N63" s="416">
        <f t="shared" si="34"/>
        <v>13</v>
      </c>
      <c r="O63" s="158"/>
      <c r="P63" s="414">
        <f>E63</f>
        <v>10</v>
      </c>
      <c r="Q63" s="415">
        <f>H63</f>
        <v>13</v>
      </c>
      <c r="R63" s="415">
        <f>K63</f>
        <v>13</v>
      </c>
      <c r="S63" s="415">
        <f>N63</f>
        <v>13</v>
      </c>
      <c r="T63" s="416">
        <f>N63</f>
        <v>13</v>
      </c>
    </row>
  </sheetData>
  <mergeCells count="4">
    <mergeCell ref="B2:T2"/>
    <mergeCell ref="B3:T3"/>
    <mergeCell ref="B5:N5"/>
    <mergeCell ref="P5:T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12"/>
  <sheetViews>
    <sheetView topLeftCell="A2" zoomScaleNormal="100" workbookViewId="0">
      <pane xSplit="2" ySplit="6" topLeftCell="C8" activePane="bottomRight" state="frozen"/>
      <selection activeCell="A2" sqref="A2"/>
      <selection pane="topRight" activeCell="C2" sqref="C2"/>
      <selection pane="bottomLeft" activeCell="A6" sqref="A6"/>
      <selection pane="bottomRight" activeCell="A8" sqref="A8:XFD9"/>
    </sheetView>
  </sheetViews>
  <sheetFormatPr defaultColWidth="9.1796875" defaultRowHeight="12.5"/>
  <cols>
    <col min="1" max="1" width="1.81640625" style="75" customWidth="1"/>
    <col min="2" max="2" width="26.81640625" style="75" customWidth="1"/>
    <col min="3" max="3" width="6.453125" style="75" customWidth="1"/>
    <col min="4" max="4" width="8.54296875" style="75" bestFit="1" customWidth="1"/>
    <col min="5" max="5" width="9.81640625" style="75" bestFit="1" customWidth="1"/>
    <col min="6" max="6" width="8" style="75" bestFit="1" customWidth="1"/>
    <col min="7" max="7" width="6.7265625" style="75" bestFit="1" customWidth="1"/>
    <col min="8" max="8" width="7.7265625" style="75" bestFit="1" customWidth="1"/>
    <col min="9" max="9" width="8.7265625" style="75" bestFit="1" customWidth="1"/>
    <col min="10" max="10" width="7.7265625" style="75" bestFit="1" customWidth="1"/>
    <col min="11" max="11" width="9.1796875" style="75" bestFit="1" customWidth="1"/>
    <col min="12" max="12" width="10.54296875" style="75" bestFit="1" customWidth="1"/>
    <col min="13" max="13" width="10.453125" style="75" bestFit="1" customWidth="1"/>
    <col min="14" max="14" width="9.453125" style="75" bestFit="1" customWidth="1"/>
    <col min="15" max="15" width="9.1796875" style="75" bestFit="1" customWidth="1"/>
    <col min="16" max="16" width="7.1796875" style="75" customWidth="1"/>
    <col min="17" max="17" width="9.1796875" style="75"/>
    <col min="18" max="18" width="9.81640625" style="75" bestFit="1" customWidth="1"/>
    <col min="19" max="16384" width="9.1796875" style="75"/>
  </cols>
  <sheetData>
    <row r="1" spans="2:16" ht="16" thickBot="1">
      <c r="B1" s="106" t="str">
        <f>Assumptions!B1</f>
        <v>Company Name</v>
      </c>
      <c r="C1" s="106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2:16" s="76" customFormat="1" ht="15.5">
      <c r="B2" s="441" t="str">
        <f>Assumptions!B2</f>
        <v>Budget 2020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3"/>
    </row>
    <row r="3" spans="2:16" ht="15.5">
      <c r="B3" s="450" t="s">
        <v>84</v>
      </c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2"/>
    </row>
    <row r="4" spans="2:16" ht="16" thickBot="1">
      <c r="B4" s="444" t="s">
        <v>155</v>
      </c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6"/>
    </row>
    <row r="5" spans="2:16" ht="15.5">
      <c r="B5" s="107"/>
      <c r="C5" s="107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</row>
    <row r="6" spans="2:16" ht="13" thickBot="1"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2:16" s="76" customFormat="1" ht="13.5" thickBot="1">
      <c r="B7" s="427"/>
      <c r="C7" s="428"/>
      <c r="D7" s="429" t="s">
        <v>14</v>
      </c>
      <c r="E7" s="429" t="s">
        <v>15</v>
      </c>
      <c r="F7" s="429" t="s">
        <v>16</v>
      </c>
      <c r="G7" s="429" t="s">
        <v>17</v>
      </c>
      <c r="H7" s="429" t="s">
        <v>18</v>
      </c>
      <c r="I7" s="429" t="s">
        <v>19</v>
      </c>
      <c r="J7" s="429" t="s">
        <v>72</v>
      </c>
      <c r="K7" s="429" t="s">
        <v>73</v>
      </c>
      <c r="L7" s="429" t="s">
        <v>74</v>
      </c>
      <c r="M7" s="429" t="s">
        <v>75</v>
      </c>
      <c r="N7" s="429" t="s">
        <v>76</v>
      </c>
      <c r="O7" s="430" t="s">
        <v>77</v>
      </c>
      <c r="P7" s="281" t="s">
        <v>80</v>
      </c>
    </row>
    <row r="8" spans="2:16" s="76" customFormat="1">
      <c r="B8" s="367" t="s">
        <v>158</v>
      </c>
      <c r="C8" s="367"/>
      <c r="D8" s="436">
        <v>50</v>
      </c>
      <c r="E8" s="436">
        <v>50</v>
      </c>
      <c r="F8" s="436">
        <v>50</v>
      </c>
      <c r="G8" s="436">
        <v>50</v>
      </c>
      <c r="H8" s="436">
        <v>50</v>
      </c>
      <c r="I8" s="436">
        <v>50</v>
      </c>
      <c r="J8" s="436">
        <v>50</v>
      </c>
      <c r="K8" s="436">
        <v>50</v>
      </c>
      <c r="L8" s="436">
        <v>50</v>
      </c>
      <c r="M8" s="436">
        <v>50</v>
      </c>
      <c r="N8" s="436">
        <v>50</v>
      </c>
      <c r="O8" s="436">
        <v>50</v>
      </c>
      <c r="P8" s="426">
        <f>SUM(D8:O8)</f>
        <v>600</v>
      </c>
    </row>
    <row r="9" spans="2:16" s="76" customFormat="1">
      <c r="B9" s="367" t="s">
        <v>159</v>
      </c>
      <c r="C9" s="367"/>
      <c r="D9" s="436">
        <v>10</v>
      </c>
      <c r="E9" s="436">
        <f t="shared" ref="E9:N9" si="0">400/12</f>
        <v>33.333333333333336</v>
      </c>
      <c r="F9" s="436">
        <f t="shared" si="0"/>
        <v>33.333333333333336</v>
      </c>
      <c r="G9" s="436">
        <f t="shared" si="0"/>
        <v>33.333333333333336</v>
      </c>
      <c r="H9" s="436">
        <f t="shared" si="0"/>
        <v>33.333333333333336</v>
      </c>
      <c r="I9" s="436">
        <f t="shared" si="0"/>
        <v>33.333333333333336</v>
      </c>
      <c r="J9" s="436">
        <f t="shared" si="0"/>
        <v>33.333333333333336</v>
      </c>
      <c r="K9" s="436">
        <f t="shared" si="0"/>
        <v>33.333333333333336</v>
      </c>
      <c r="L9" s="436">
        <f t="shared" si="0"/>
        <v>33.333333333333336</v>
      </c>
      <c r="M9" s="436">
        <f t="shared" si="0"/>
        <v>33.333333333333336</v>
      </c>
      <c r="N9" s="436">
        <f t="shared" si="0"/>
        <v>33.333333333333336</v>
      </c>
      <c r="O9" s="371">
        <f>400/12</f>
        <v>33.333333333333336</v>
      </c>
      <c r="P9" s="426">
        <f t="shared" ref="P9:P11" si="1">SUM(D9:O9)</f>
        <v>376.66666666666663</v>
      </c>
    </row>
    <row r="10" spans="2:16" s="76" customFormat="1">
      <c r="B10" s="367" t="s">
        <v>161</v>
      </c>
      <c r="C10" s="367"/>
      <c r="D10" s="436"/>
      <c r="E10" s="436"/>
      <c r="F10" s="436">
        <v>5</v>
      </c>
      <c r="G10" s="437">
        <v>5</v>
      </c>
      <c r="H10" s="437">
        <v>10</v>
      </c>
      <c r="I10" s="437">
        <v>10</v>
      </c>
      <c r="J10" s="437">
        <v>10</v>
      </c>
      <c r="K10" s="437">
        <v>20</v>
      </c>
      <c r="L10" s="437">
        <v>20</v>
      </c>
      <c r="M10" s="437">
        <v>30</v>
      </c>
      <c r="N10" s="437">
        <v>40</v>
      </c>
      <c r="O10" s="371">
        <v>50</v>
      </c>
      <c r="P10" s="426">
        <f t="shared" si="1"/>
        <v>200</v>
      </c>
    </row>
    <row r="11" spans="2:16" s="76" customFormat="1" ht="13" thickBot="1">
      <c r="B11" s="367" t="s">
        <v>160</v>
      </c>
      <c r="C11" s="367"/>
      <c r="D11" s="436">
        <f>900/12</f>
        <v>75</v>
      </c>
      <c r="E11" s="436">
        <f t="shared" ref="E11:N11" si="2">900/12</f>
        <v>75</v>
      </c>
      <c r="F11" s="436">
        <f t="shared" si="2"/>
        <v>75</v>
      </c>
      <c r="G11" s="436">
        <f t="shared" si="2"/>
        <v>75</v>
      </c>
      <c r="H11" s="436">
        <f t="shared" si="2"/>
        <v>75</v>
      </c>
      <c r="I11" s="436">
        <f t="shared" si="2"/>
        <v>75</v>
      </c>
      <c r="J11" s="436">
        <f t="shared" si="2"/>
        <v>75</v>
      </c>
      <c r="K11" s="436">
        <f t="shared" si="2"/>
        <v>75</v>
      </c>
      <c r="L11" s="436">
        <f t="shared" si="2"/>
        <v>75</v>
      </c>
      <c r="M11" s="436">
        <f t="shared" si="2"/>
        <v>75</v>
      </c>
      <c r="N11" s="436">
        <f t="shared" si="2"/>
        <v>75</v>
      </c>
      <c r="O11" s="371">
        <f>900/12</f>
        <v>75</v>
      </c>
      <c r="P11" s="426">
        <f t="shared" si="1"/>
        <v>900</v>
      </c>
    </row>
    <row r="12" spans="2:16" s="177" customFormat="1" ht="13.5" thickBot="1">
      <c r="B12" s="431" t="s">
        <v>130</v>
      </c>
      <c r="C12" s="432"/>
      <c r="D12" s="433">
        <f t="shared" ref="D12:O12" si="3">SUM(D8:D11)</f>
        <v>135</v>
      </c>
      <c r="E12" s="434">
        <f t="shared" si="3"/>
        <v>158.33333333333334</v>
      </c>
      <c r="F12" s="434">
        <f t="shared" si="3"/>
        <v>163.33333333333334</v>
      </c>
      <c r="G12" s="434">
        <f t="shared" si="3"/>
        <v>163.33333333333334</v>
      </c>
      <c r="H12" s="434">
        <f t="shared" si="3"/>
        <v>168.33333333333334</v>
      </c>
      <c r="I12" s="434">
        <f t="shared" si="3"/>
        <v>168.33333333333334</v>
      </c>
      <c r="J12" s="434">
        <f t="shared" si="3"/>
        <v>168.33333333333334</v>
      </c>
      <c r="K12" s="434">
        <f t="shared" si="3"/>
        <v>178.33333333333334</v>
      </c>
      <c r="L12" s="434">
        <f t="shared" si="3"/>
        <v>178.33333333333334</v>
      </c>
      <c r="M12" s="434">
        <f t="shared" si="3"/>
        <v>188.33333333333334</v>
      </c>
      <c r="N12" s="434">
        <f t="shared" si="3"/>
        <v>198.33333333333334</v>
      </c>
      <c r="O12" s="435">
        <f t="shared" si="3"/>
        <v>208.33333333333334</v>
      </c>
      <c r="P12" s="297">
        <f>SUM(D12:O12)</f>
        <v>2076.6666666666665</v>
      </c>
    </row>
  </sheetData>
  <mergeCells count="3">
    <mergeCell ref="B2:P2"/>
    <mergeCell ref="B3:P3"/>
    <mergeCell ref="B4:P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9"/>
  <sheetViews>
    <sheetView topLeftCell="A61" zoomScaleNormal="100" workbookViewId="0">
      <selection activeCell="D52" sqref="D52"/>
    </sheetView>
  </sheetViews>
  <sheetFormatPr defaultColWidth="9.1796875" defaultRowHeight="12.5"/>
  <cols>
    <col min="1" max="1" width="1.81640625" style="40" customWidth="1"/>
    <col min="2" max="2" width="50.453125" style="64" bestFit="1" customWidth="1"/>
    <col min="3" max="3" width="8.1796875" style="42" customWidth="1"/>
    <col min="4" max="4" width="9.54296875" style="40" customWidth="1"/>
    <col min="5" max="15" width="7.54296875" style="40" bestFit="1" customWidth="1"/>
    <col min="16" max="16" width="7.453125" style="40" customWidth="1"/>
    <col min="17" max="16384" width="9.1796875" style="40"/>
  </cols>
  <sheetData>
    <row r="1" spans="1:16" s="45" customFormat="1" ht="15.5">
      <c r="A1" s="44"/>
      <c r="B1" s="453" t="str">
        <f>Assumptions!B1</f>
        <v>Company Name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5"/>
    </row>
    <row r="2" spans="1:16" s="44" customFormat="1" ht="15.5">
      <c r="A2" s="45"/>
      <c r="B2" s="456" t="str">
        <f>Assumptions!B2</f>
        <v>Budget 2020</v>
      </c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8"/>
    </row>
    <row r="3" spans="1:16" s="65" customFormat="1" ht="16" thickBot="1">
      <c r="B3" s="459" t="s">
        <v>143</v>
      </c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1"/>
    </row>
    <row r="4" spans="1:16" ht="13">
      <c r="A4" s="41"/>
      <c r="B4" s="43"/>
      <c r="C4" s="44"/>
    </row>
    <row r="5" spans="1:16" ht="13.5" thickBot="1">
      <c r="A5" s="41"/>
      <c r="B5" s="43"/>
      <c r="C5" s="44"/>
    </row>
    <row r="6" spans="1:16" ht="13.5" thickBot="1">
      <c r="A6" s="41"/>
      <c r="B6" s="298" t="s">
        <v>144</v>
      </c>
      <c r="C6" s="299" t="s">
        <v>92</v>
      </c>
      <c r="D6" s="300" t="str">
        <f t="shared" ref="D6:O6" si="0">D$13</f>
        <v>Jan</v>
      </c>
      <c r="E6" s="300" t="str">
        <f t="shared" si="0"/>
        <v>Feb</v>
      </c>
      <c r="F6" s="300" t="str">
        <f t="shared" si="0"/>
        <v>Mar</v>
      </c>
      <c r="G6" s="300" t="str">
        <f t="shared" si="0"/>
        <v>Apr</v>
      </c>
      <c r="H6" s="300" t="str">
        <f t="shared" si="0"/>
        <v>May</v>
      </c>
      <c r="I6" s="300" t="str">
        <f t="shared" si="0"/>
        <v>Jun</v>
      </c>
      <c r="J6" s="300" t="str">
        <f t="shared" si="0"/>
        <v>Jul</v>
      </c>
      <c r="K6" s="300" t="str">
        <f t="shared" si="0"/>
        <v>Aug</v>
      </c>
      <c r="L6" s="300" t="str">
        <f t="shared" si="0"/>
        <v>Sep</v>
      </c>
      <c r="M6" s="300" t="str">
        <f t="shared" si="0"/>
        <v>Oct</v>
      </c>
      <c r="N6" s="300" t="str">
        <f t="shared" si="0"/>
        <v>Nov</v>
      </c>
      <c r="O6" s="301" t="str">
        <f t="shared" si="0"/>
        <v>Dec</v>
      </c>
      <c r="P6" s="281" t="s">
        <v>80</v>
      </c>
    </row>
    <row r="7" spans="1:16">
      <c r="B7" s="74" t="s">
        <v>126</v>
      </c>
      <c r="C7" s="63" t="s">
        <v>34</v>
      </c>
      <c r="D7" s="200">
        <v>3</v>
      </c>
      <c r="E7" s="200">
        <f>D7</f>
        <v>3</v>
      </c>
      <c r="F7" s="200">
        <f t="shared" ref="F7:N7" si="1">E7</f>
        <v>3</v>
      </c>
      <c r="G7" s="200">
        <f t="shared" si="1"/>
        <v>3</v>
      </c>
      <c r="H7" s="200">
        <f t="shared" si="1"/>
        <v>3</v>
      </c>
      <c r="I7" s="200">
        <v>4</v>
      </c>
      <c r="J7" s="200">
        <f t="shared" si="1"/>
        <v>4</v>
      </c>
      <c r="K7" s="200">
        <f t="shared" si="1"/>
        <v>4</v>
      </c>
      <c r="L7" s="200">
        <f t="shared" si="1"/>
        <v>4</v>
      </c>
      <c r="M7" s="200">
        <f t="shared" si="1"/>
        <v>4</v>
      </c>
      <c r="N7" s="200">
        <f t="shared" si="1"/>
        <v>4</v>
      </c>
      <c r="O7" s="204">
        <v>4</v>
      </c>
      <c r="P7" s="203">
        <f>SUM(D7:O7)</f>
        <v>43</v>
      </c>
    </row>
    <row r="8" spans="1:16">
      <c r="B8" s="66" t="s">
        <v>141</v>
      </c>
      <c r="C8" s="46" t="s">
        <v>34</v>
      </c>
      <c r="D8" s="178">
        <f>Revenue!D12*5%</f>
        <v>6.75</v>
      </c>
      <c r="E8" s="178">
        <f>Revenue!E12*5%</f>
        <v>7.9166666666666679</v>
      </c>
      <c r="F8" s="178">
        <f>Revenue!F12*5%</f>
        <v>8.1666666666666679</v>
      </c>
      <c r="G8" s="178">
        <f>Revenue!G12*5%</f>
        <v>8.1666666666666679</v>
      </c>
      <c r="H8" s="178">
        <f>Revenue!H12*5%</f>
        <v>8.4166666666666679</v>
      </c>
      <c r="I8" s="178">
        <f>Revenue!I12*5%</f>
        <v>8.4166666666666679</v>
      </c>
      <c r="J8" s="178">
        <f>Revenue!J12*5%</f>
        <v>8.4166666666666679</v>
      </c>
      <c r="K8" s="178">
        <f>Revenue!K12*5%</f>
        <v>8.9166666666666679</v>
      </c>
      <c r="L8" s="178">
        <f>Revenue!L12*5%</f>
        <v>8.9166666666666679</v>
      </c>
      <c r="M8" s="178">
        <f>Revenue!M12*5%</f>
        <v>9.4166666666666679</v>
      </c>
      <c r="N8" s="178">
        <f>Revenue!N12*5%</f>
        <v>9.9166666666666679</v>
      </c>
      <c r="O8" s="178">
        <f>Revenue!O12*5%</f>
        <v>10.416666666666668</v>
      </c>
      <c r="P8" s="203">
        <f t="shared" ref="P8:P9" si="2">SUM(D8:O8)</f>
        <v>103.83333333333337</v>
      </c>
    </row>
    <row r="9" spans="1:16" ht="13" thickBot="1">
      <c r="B9" s="66" t="s">
        <v>86</v>
      </c>
      <c r="C9" s="46" t="s">
        <v>34</v>
      </c>
      <c r="D9" s="47">
        <v>0.5</v>
      </c>
      <c r="E9" s="178">
        <f>D9</f>
        <v>0.5</v>
      </c>
      <c r="F9" s="178">
        <f>D9</f>
        <v>0.5</v>
      </c>
      <c r="G9" s="178">
        <f>D9</f>
        <v>0.5</v>
      </c>
      <c r="H9" s="178">
        <f>D9</f>
        <v>0.5</v>
      </c>
      <c r="I9" s="178">
        <f>D9</f>
        <v>0.5</v>
      </c>
      <c r="J9" s="178">
        <f>D9</f>
        <v>0.5</v>
      </c>
      <c r="K9" s="178">
        <f>D9</f>
        <v>0.5</v>
      </c>
      <c r="L9" s="178">
        <f>D9</f>
        <v>0.5</v>
      </c>
      <c r="M9" s="178">
        <f>D9</f>
        <v>0.5</v>
      </c>
      <c r="N9" s="178">
        <f>D9</f>
        <v>0.5</v>
      </c>
      <c r="O9" s="183">
        <f>D9</f>
        <v>0.5</v>
      </c>
      <c r="P9" s="203">
        <f t="shared" si="2"/>
        <v>6</v>
      </c>
    </row>
    <row r="10" spans="1:16" ht="13.5" thickBot="1">
      <c r="B10" s="48" t="s">
        <v>71</v>
      </c>
      <c r="C10" s="49"/>
      <c r="D10" s="50">
        <f t="shared" ref="D10:O10" si="3">SUM(D7:D9)</f>
        <v>10.25</v>
      </c>
      <c r="E10" s="50">
        <f t="shared" si="3"/>
        <v>11.416666666666668</v>
      </c>
      <c r="F10" s="50">
        <f t="shared" si="3"/>
        <v>11.666666666666668</v>
      </c>
      <c r="G10" s="50">
        <f t="shared" si="3"/>
        <v>11.666666666666668</v>
      </c>
      <c r="H10" s="50">
        <f t="shared" si="3"/>
        <v>11.916666666666668</v>
      </c>
      <c r="I10" s="50">
        <f t="shared" si="3"/>
        <v>12.916666666666668</v>
      </c>
      <c r="J10" s="50">
        <f t="shared" si="3"/>
        <v>12.916666666666668</v>
      </c>
      <c r="K10" s="50">
        <f t="shared" si="3"/>
        <v>13.416666666666668</v>
      </c>
      <c r="L10" s="50">
        <f t="shared" si="3"/>
        <v>13.416666666666668</v>
      </c>
      <c r="M10" s="50">
        <f t="shared" si="3"/>
        <v>13.916666666666668</v>
      </c>
      <c r="N10" s="50">
        <f t="shared" si="3"/>
        <v>14.416666666666668</v>
      </c>
      <c r="O10" s="166">
        <f t="shared" si="3"/>
        <v>14.916666666666668</v>
      </c>
      <c r="P10" s="165">
        <f>SUM(D10:O10)</f>
        <v>152.83333333333334</v>
      </c>
    </row>
    <row r="11" spans="1:16" ht="13">
      <c r="B11" s="51"/>
      <c r="C11" s="45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spans="1:16" ht="13.5" thickBot="1">
      <c r="B12" s="51"/>
      <c r="C12" s="45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6" ht="13.5" thickBot="1">
      <c r="A13" s="41"/>
      <c r="B13" s="298" t="s">
        <v>145</v>
      </c>
      <c r="C13" s="299" t="s">
        <v>92</v>
      </c>
      <c r="D13" s="300" t="s">
        <v>14</v>
      </c>
      <c r="E13" s="300" t="s">
        <v>15</v>
      </c>
      <c r="F13" s="300" t="s">
        <v>16</v>
      </c>
      <c r="G13" s="300" t="s">
        <v>17</v>
      </c>
      <c r="H13" s="300" t="s">
        <v>18</v>
      </c>
      <c r="I13" s="300" t="s">
        <v>19</v>
      </c>
      <c r="J13" s="300" t="s">
        <v>72</v>
      </c>
      <c r="K13" s="300" t="s">
        <v>73</v>
      </c>
      <c r="L13" s="300" t="s">
        <v>74</v>
      </c>
      <c r="M13" s="300" t="s">
        <v>75</v>
      </c>
      <c r="N13" s="300" t="s">
        <v>76</v>
      </c>
      <c r="O13" s="302" t="s">
        <v>77</v>
      </c>
      <c r="P13" s="281" t="s">
        <v>80</v>
      </c>
    </row>
    <row r="14" spans="1:16">
      <c r="B14" s="66" t="s">
        <v>124</v>
      </c>
      <c r="C14" s="46" t="s">
        <v>0</v>
      </c>
      <c r="D14" s="178">
        <v>1</v>
      </c>
      <c r="E14" s="178">
        <f>D14</f>
        <v>1</v>
      </c>
      <c r="F14" s="178">
        <f t="shared" ref="F14:N15" si="4">E14</f>
        <v>1</v>
      </c>
      <c r="G14" s="178">
        <f t="shared" si="4"/>
        <v>1</v>
      </c>
      <c r="H14" s="178">
        <f t="shared" si="4"/>
        <v>1</v>
      </c>
      <c r="I14" s="178">
        <f t="shared" si="4"/>
        <v>1</v>
      </c>
      <c r="J14" s="178">
        <f t="shared" si="4"/>
        <v>1</v>
      </c>
      <c r="K14" s="178">
        <f t="shared" si="4"/>
        <v>1</v>
      </c>
      <c r="L14" s="178">
        <f t="shared" si="4"/>
        <v>1</v>
      </c>
      <c r="M14" s="178">
        <f t="shared" si="4"/>
        <v>1</v>
      </c>
      <c r="N14" s="178">
        <f t="shared" si="4"/>
        <v>1</v>
      </c>
      <c r="O14" s="67">
        <f>N14</f>
        <v>1</v>
      </c>
      <c r="P14" s="422">
        <f>SUM(D14:O14)</f>
        <v>12</v>
      </c>
    </row>
    <row r="15" spans="1:16">
      <c r="B15" s="66" t="s">
        <v>125</v>
      </c>
      <c r="C15" s="46" t="s">
        <v>0</v>
      </c>
      <c r="D15" s="178">
        <v>1</v>
      </c>
      <c r="E15" s="178">
        <f>D15</f>
        <v>1</v>
      </c>
      <c r="F15" s="178">
        <f t="shared" si="4"/>
        <v>1</v>
      </c>
      <c r="G15" s="178">
        <f t="shared" si="4"/>
        <v>1</v>
      </c>
      <c r="H15" s="178">
        <f t="shared" si="4"/>
        <v>1</v>
      </c>
      <c r="I15" s="178">
        <f t="shared" si="4"/>
        <v>1</v>
      </c>
      <c r="J15" s="178">
        <f t="shared" si="4"/>
        <v>1</v>
      </c>
      <c r="K15" s="178">
        <f t="shared" si="4"/>
        <v>1</v>
      </c>
      <c r="L15" s="178">
        <f t="shared" si="4"/>
        <v>1</v>
      </c>
      <c r="M15" s="178">
        <f t="shared" si="4"/>
        <v>1</v>
      </c>
      <c r="N15" s="178">
        <f t="shared" si="4"/>
        <v>1</v>
      </c>
      <c r="O15" s="67">
        <f>N15</f>
        <v>1</v>
      </c>
      <c r="P15" s="423">
        <f t="shared" ref="P15:P16" si="5">SUM(D15:O15)</f>
        <v>12</v>
      </c>
    </row>
    <row r="16" spans="1:16" ht="13" thickBot="1">
      <c r="B16" s="66" t="s">
        <v>86</v>
      </c>
      <c r="C16" s="46" t="s">
        <v>0</v>
      </c>
      <c r="D16" s="178">
        <v>0.5</v>
      </c>
      <c r="E16" s="47">
        <f>D16</f>
        <v>0.5</v>
      </c>
      <c r="F16" s="47">
        <f>D16</f>
        <v>0.5</v>
      </c>
      <c r="G16" s="47">
        <f>D16</f>
        <v>0.5</v>
      </c>
      <c r="H16" s="47">
        <f>D16</f>
        <v>0.5</v>
      </c>
      <c r="I16" s="47">
        <f>D16</f>
        <v>0.5</v>
      </c>
      <c r="J16" s="47">
        <f>D16</f>
        <v>0.5</v>
      </c>
      <c r="K16" s="47">
        <f>D16</f>
        <v>0.5</v>
      </c>
      <c r="L16" s="47">
        <f>D16</f>
        <v>0.5</v>
      </c>
      <c r="M16" s="47">
        <f>D16</f>
        <v>0.5</v>
      </c>
      <c r="N16" s="47">
        <f>D16</f>
        <v>0.5</v>
      </c>
      <c r="O16" s="67">
        <f>D16</f>
        <v>0.5</v>
      </c>
      <c r="P16" s="157">
        <f t="shared" si="5"/>
        <v>6</v>
      </c>
    </row>
    <row r="17" spans="1:16" ht="13.5" thickBot="1">
      <c r="B17" s="48" t="s">
        <v>53</v>
      </c>
      <c r="C17" s="49" t="s">
        <v>0</v>
      </c>
      <c r="D17" s="50">
        <f t="shared" ref="D17:O17" si="6">SUM(D14:D16)</f>
        <v>2.5</v>
      </c>
      <c r="E17" s="50">
        <f t="shared" si="6"/>
        <v>2.5</v>
      </c>
      <c r="F17" s="50">
        <f t="shared" si="6"/>
        <v>2.5</v>
      </c>
      <c r="G17" s="50">
        <f t="shared" si="6"/>
        <v>2.5</v>
      </c>
      <c r="H17" s="50">
        <f t="shared" si="6"/>
        <v>2.5</v>
      </c>
      <c r="I17" s="50">
        <f t="shared" si="6"/>
        <v>2.5</v>
      </c>
      <c r="J17" s="50">
        <f t="shared" si="6"/>
        <v>2.5</v>
      </c>
      <c r="K17" s="50">
        <f t="shared" si="6"/>
        <v>2.5</v>
      </c>
      <c r="L17" s="50">
        <f t="shared" si="6"/>
        <v>2.5</v>
      </c>
      <c r="M17" s="50">
        <f t="shared" si="6"/>
        <v>2.5</v>
      </c>
      <c r="N17" s="50">
        <f t="shared" si="6"/>
        <v>2.5</v>
      </c>
      <c r="O17" s="69">
        <f t="shared" si="6"/>
        <v>2.5</v>
      </c>
      <c r="P17" s="156">
        <f>SUM(D17:O17)</f>
        <v>30</v>
      </c>
    </row>
    <row r="18" spans="1:16" ht="13">
      <c r="B18" s="51"/>
      <c r="C18" s="45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</row>
    <row r="19" spans="1:16" ht="13.5" thickBot="1">
      <c r="B19" s="51"/>
      <c r="C19" s="45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</row>
    <row r="20" spans="1:16" ht="13.5" thickBot="1">
      <c r="A20" s="41"/>
      <c r="B20" s="298" t="s">
        <v>8</v>
      </c>
      <c r="C20" s="299" t="s">
        <v>92</v>
      </c>
      <c r="D20" s="300" t="str">
        <f t="shared" ref="D20:O20" si="7">D$13</f>
        <v>Jan</v>
      </c>
      <c r="E20" s="300" t="str">
        <f t="shared" si="7"/>
        <v>Feb</v>
      </c>
      <c r="F20" s="300" t="str">
        <f t="shared" si="7"/>
        <v>Mar</v>
      </c>
      <c r="G20" s="300" t="str">
        <f t="shared" si="7"/>
        <v>Apr</v>
      </c>
      <c r="H20" s="300" t="str">
        <f t="shared" si="7"/>
        <v>May</v>
      </c>
      <c r="I20" s="300" t="str">
        <f t="shared" si="7"/>
        <v>Jun</v>
      </c>
      <c r="J20" s="300" t="str">
        <f t="shared" si="7"/>
        <v>Jul</v>
      </c>
      <c r="K20" s="300" t="str">
        <f t="shared" si="7"/>
        <v>Aug</v>
      </c>
      <c r="L20" s="300" t="str">
        <f t="shared" si="7"/>
        <v>Sep</v>
      </c>
      <c r="M20" s="300" t="str">
        <f t="shared" si="7"/>
        <v>Oct</v>
      </c>
      <c r="N20" s="300" t="str">
        <f t="shared" si="7"/>
        <v>Nov</v>
      </c>
      <c r="O20" s="301" t="str">
        <f t="shared" si="7"/>
        <v>Dec</v>
      </c>
      <c r="P20" s="281" t="s">
        <v>80</v>
      </c>
    </row>
    <row r="21" spans="1:16">
      <c r="B21" s="190" t="s">
        <v>4</v>
      </c>
      <c r="C21" s="63" t="s">
        <v>0</v>
      </c>
      <c r="D21" s="191">
        <v>1</v>
      </c>
      <c r="E21" s="191">
        <f>D21</f>
        <v>1</v>
      </c>
      <c r="F21" s="191">
        <f>D21</f>
        <v>1</v>
      </c>
      <c r="G21" s="191">
        <f>D21</f>
        <v>1</v>
      </c>
      <c r="H21" s="191">
        <f>D21</f>
        <v>1</v>
      </c>
      <c r="I21" s="191">
        <f>D21</f>
        <v>1</v>
      </c>
      <c r="J21" s="191">
        <f>D21</f>
        <v>1</v>
      </c>
      <c r="K21" s="191">
        <f>D21</f>
        <v>1</v>
      </c>
      <c r="L21" s="191">
        <f>D21</f>
        <v>1</v>
      </c>
      <c r="M21" s="191">
        <f>D21</f>
        <v>1</v>
      </c>
      <c r="N21" s="191">
        <f>D21</f>
        <v>1</v>
      </c>
      <c r="O21" s="202">
        <f>D21</f>
        <v>1</v>
      </c>
      <c r="P21" s="203">
        <f>SUM(D21:O21)</f>
        <v>12</v>
      </c>
    </row>
    <row r="22" spans="1:16">
      <c r="B22" s="161" t="s">
        <v>131</v>
      </c>
      <c r="C22" s="46" t="s">
        <v>0</v>
      </c>
      <c r="D22" s="47">
        <v>1</v>
      </c>
      <c r="E22" s="47">
        <f>D22</f>
        <v>1</v>
      </c>
      <c r="F22" s="47">
        <f>D22</f>
        <v>1</v>
      </c>
      <c r="G22" s="47">
        <f>D22</f>
        <v>1</v>
      </c>
      <c r="H22" s="47">
        <f>D22</f>
        <v>1</v>
      </c>
      <c r="I22" s="47">
        <f>D22</f>
        <v>1</v>
      </c>
      <c r="J22" s="47">
        <f>D22</f>
        <v>1</v>
      </c>
      <c r="K22" s="47">
        <f>D22</f>
        <v>1</v>
      </c>
      <c r="L22" s="47">
        <f>D22</f>
        <v>1</v>
      </c>
      <c r="M22" s="47">
        <f>D22</f>
        <v>1</v>
      </c>
      <c r="N22" s="47">
        <f>D22</f>
        <v>1</v>
      </c>
      <c r="O22" s="184">
        <f>D22</f>
        <v>1</v>
      </c>
      <c r="P22" s="203">
        <f t="shared" ref="P22:P23" si="8">SUM(D22:O22)</f>
        <v>12</v>
      </c>
    </row>
    <row r="23" spans="1:16" ht="13" thickBot="1">
      <c r="B23" s="161" t="s">
        <v>109</v>
      </c>
      <c r="C23" s="160" t="s">
        <v>0</v>
      </c>
      <c r="D23" s="185">
        <v>0.5</v>
      </c>
      <c r="E23" s="185">
        <f>D23</f>
        <v>0.5</v>
      </c>
      <c r="F23" s="185">
        <f>D23</f>
        <v>0.5</v>
      </c>
      <c r="G23" s="185">
        <f>D23</f>
        <v>0.5</v>
      </c>
      <c r="H23" s="185">
        <f>D23</f>
        <v>0.5</v>
      </c>
      <c r="I23" s="185">
        <f>D23</f>
        <v>0.5</v>
      </c>
      <c r="J23" s="185">
        <f>D23</f>
        <v>0.5</v>
      </c>
      <c r="K23" s="185">
        <f>D23</f>
        <v>0.5</v>
      </c>
      <c r="L23" s="185">
        <f>D23</f>
        <v>0.5</v>
      </c>
      <c r="M23" s="185">
        <f>D23</f>
        <v>0.5</v>
      </c>
      <c r="N23" s="185">
        <f>D23</f>
        <v>0.5</v>
      </c>
      <c r="O23" s="186">
        <f>D23</f>
        <v>0.5</v>
      </c>
      <c r="P23" s="203">
        <f t="shared" si="8"/>
        <v>6</v>
      </c>
    </row>
    <row r="24" spans="1:16" ht="13.5" thickBot="1">
      <c r="B24" s="48" t="s">
        <v>11</v>
      </c>
      <c r="C24" s="49" t="s">
        <v>0</v>
      </c>
      <c r="D24" s="50">
        <f t="shared" ref="D24:O24" si="9">SUM(D21:D23)</f>
        <v>2.5</v>
      </c>
      <c r="E24" s="50">
        <f t="shared" si="9"/>
        <v>2.5</v>
      </c>
      <c r="F24" s="50">
        <f t="shared" si="9"/>
        <v>2.5</v>
      </c>
      <c r="G24" s="50">
        <f t="shared" si="9"/>
        <v>2.5</v>
      </c>
      <c r="H24" s="50">
        <f t="shared" si="9"/>
        <v>2.5</v>
      </c>
      <c r="I24" s="50">
        <f t="shared" si="9"/>
        <v>2.5</v>
      </c>
      <c r="J24" s="50">
        <f t="shared" si="9"/>
        <v>2.5</v>
      </c>
      <c r="K24" s="50">
        <f t="shared" si="9"/>
        <v>2.5</v>
      </c>
      <c r="L24" s="50">
        <f t="shared" si="9"/>
        <v>2.5</v>
      </c>
      <c r="M24" s="50">
        <f t="shared" si="9"/>
        <v>2.5</v>
      </c>
      <c r="N24" s="50">
        <f t="shared" si="9"/>
        <v>2.5</v>
      </c>
      <c r="O24" s="166">
        <f t="shared" si="9"/>
        <v>2.5</v>
      </c>
      <c r="P24" s="165">
        <f>SUM(D24:O24)</f>
        <v>30</v>
      </c>
    </row>
    <row r="25" spans="1:16" s="41" customFormat="1" ht="13">
      <c r="A25" s="40"/>
      <c r="B25" s="51"/>
      <c r="C25" s="45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1:16" s="41" customFormat="1" ht="13.5" thickBot="1">
      <c r="A26" s="40"/>
      <c r="B26" s="51"/>
      <c r="C26" s="45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</row>
    <row r="27" spans="1:16" s="41" customFormat="1" ht="13.5" thickBot="1">
      <c r="A27" s="40"/>
      <c r="B27" s="298" t="s">
        <v>156</v>
      </c>
      <c r="C27" s="299" t="s">
        <v>92</v>
      </c>
      <c r="D27" s="303" t="str">
        <f t="shared" ref="D27:O27" si="10">D$13</f>
        <v>Jan</v>
      </c>
      <c r="E27" s="303" t="str">
        <f t="shared" si="10"/>
        <v>Feb</v>
      </c>
      <c r="F27" s="303" t="str">
        <f t="shared" si="10"/>
        <v>Mar</v>
      </c>
      <c r="G27" s="303" t="str">
        <f t="shared" si="10"/>
        <v>Apr</v>
      </c>
      <c r="H27" s="303" t="str">
        <f t="shared" si="10"/>
        <v>May</v>
      </c>
      <c r="I27" s="303" t="str">
        <f t="shared" si="10"/>
        <v>Jun</v>
      </c>
      <c r="J27" s="303" t="str">
        <f t="shared" si="10"/>
        <v>Jul</v>
      </c>
      <c r="K27" s="303" t="str">
        <f t="shared" si="10"/>
        <v>Aug</v>
      </c>
      <c r="L27" s="303" t="str">
        <f t="shared" si="10"/>
        <v>Sep</v>
      </c>
      <c r="M27" s="303" t="str">
        <f t="shared" si="10"/>
        <v>Oct</v>
      </c>
      <c r="N27" s="303" t="str">
        <f t="shared" si="10"/>
        <v>Nov</v>
      </c>
      <c r="O27" s="304" t="str">
        <f t="shared" si="10"/>
        <v>Dec</v>
      </c>
      <c r="P27" s="281" t="s">
        <v>80</v>
      </c>
    </row>
    <row r="28" spans="1:16" s="41" customFormat="1">
      <c r="A28" s="40"/>
      <c r="B28" s="190" t="s">
        <v>139</v>
      </c>
      <c r="C28" s="63" t="s">
        <v>39</v>
      </c>
      <c r="D28" s="195">
        <v>10</v>
      </c>
      <c r="E28" s="179">
        <f>D28</f>
        <v>10</v>
      </c>
      <c r="F28" s="179">
        <f>E28</f>
        <v>10</v>
      </c>
      <c r="G28" s="179">
        <f t="shared" ref="G28" si="11">F28</f>
        <v>10</v>
      </c>
      <c r="H28" s="179">
        <f t="shared" ref="H28" si="12">G28</f>
        <v>10</v>
      </c>
      <c r="I28" s="179">
        <f t="shared" ref="I28" si="13">H28</f>
        <v>10</v>
      </c>
      <c r="J28" s="179">
        <f t="shared" ref="J28" si="14">I28</f>
        <v>10</v>
      </c>
      <c r="K28" s="179">
        <f t="shared" ref="K28" si="15">J28</f>
        <v>10</v>
      </c>
      <c r="L28" s="179">
        <f t="shared" ref="L28" si="16">K28</f>
        <v>10</v>
      </c>
      <c r="M28" s="179">
        <f t="shared" ref="M28" si="17">L28</f>
        <v>10</v>
      </c>
      <c r="N28" s="179">
        <f t="shared" ref="N28" si="18">M28</f>
        <v>10</v>
      </c>
      <c r="O28" s="180">
        <f t="shared" ref="O28" si="19">N28</f>
        <v>10</v>
      </c>
      <c r="P28" s="201">
        <f>SUM(D28:O28)</f>
        <v>120</v>
      </c>
    </row>
    <row r="29" spans="1:16" s="41" customFormat="1">
      <c r="A29" s="40"/>
      <c r="B29" s="73" t="s">
        <v>137</v>
      </c>
      <c r="C29" s="46" t="s">
        <v>39</v>
      </c>
      <c r="D29" s="179">
        <v>1.5</v>
      </c>
      <c r="E29" s="179">
        <f>D29</f>
        <v>1.5</v>
      </c>
      <c r="F29" s="179">
        <f>E29</f>
        <v>1.5</v>
      </c>
      <c r="G29" s="179">
        <f t="shared" ref="G29:O29" si="20">F29</f>
        <v>1.5</v>
      </c>
      <c r="H29" s="179">
        <f t="shared" si="20"/>
        <v>1.5</v>
      </c>
      <c r="I29" s="179">
        <f t="shared" si="20"/>
        <v>1.5</v>
      </c>
      <c r="J29" s="179">
        <f t="shared" si="20"/>
        <v>1.5</v>
      </c>
      <c r="K29" s="179">
        <f t="shared" si="20"/>
        <v>1.5</v>
      </c>
      <c r="L29" s="179">
        <f t="shared" si="20"/>
        <v>1.5</v>
      </c>
      <c r="M29" s="179">
        <f t="shared" si="20"/>
        <v>1.5</v>
      </c>
      <c r="N29" s="179">
        <f t="shared" si="20"/>
        <v>1.5</v>
      </c>
      <c r="O29" s="180">
        <f t="shared" si="20"/>
        <v>1.5</v>
      </c>
      <c r="P29" s="163">
        <f t="shared" ref="P29:P32" si="21">SUM(D29:O29)</f>
        <v>18</v>
      </c>
    </row>
    <row r="30" spans="1:16" s="41" customFormat="1">
      <c r="A30" s="40"/>
      <c r="B30" s="73" t="s">
        <v>138</v>
      </c>
      <c r="C30" s="46" t="s">
        <v>39</v>
      </c>
      <c r="D30" s="179">
        <v>2.5</v>
      </c>
      <c r="E30" s="179">
        <f t="shared" ref="E30:F30" si="22">D30</f>
        <v>2.5</v>
      </c>
      <c r="F30" s="179">
        <f t="shared" si="22"/>
        <v>2.5</v>
      </c>
      <c r="G30" s="179">
        <f t="shared" ref="G30:G32" si="23">F30</f>
        <v>2.5</v>
      </c>
      <c r="H30" s="179">
        <f t="shared" ref="H30:H32" si="24">G30</f>
        <v>2.5</v>
      </c>
      <c r="I30" s="179">
        <f t="shared" ref="I30:I32" si="25">H30</f>
        <v>2.5</v>
      </c>
      <c r="J30" s="179">
        <f t="shared" ref="J30:J32" si="26">I30</f>
        <v>2.5</v>
      </c>
      <c r="K30" s="179">
        <f t="shared" ref="K30:K32" si="27">J30</f>
        <v>2.5</v>
      </c>
      <c r="L30" s="179">
        <f t="shared" ref="L30:L32" si="28">K30</f>
        <v>2.5</v>
      </c>
      <c r="M30" s="179">
        <f t="shared" ref="M30:M32" si="29">L30</f>
        <v>2.5</v>
      </c>
      <c r="N30" s="179">
        <f t="shared" ref="N30:N32" si="30">M30</f>
        <v>2.5</v>
      </c>
      <c r="O30" s="180">
        <f t="shared" ref="O30:O32" si="31">N30</f>
        <v>2.5</v>
      </c>
      <c r="P30" s="163">
        <f t="shared" si="21"/>
        <v>30</v>
      </c>
    </row>
    <row r="31" spans="1:16" s="41" customFormat="1">
      <c r="A31" s="40"/>
      <c r="B31" s="73" t="s">
        <v>132</v>
      </c>
      <c r="C31" s="46" t="s">
        <v>39</v>
      </c>
      <c r="D31" s="179">
        <v>1</v>
      </c>
      <c r="E31" s="179">
        <f t="shared" ref="E31:F31" si="32">D31</f>
        <v>1</v>
      </c>
      <c r="F31" s="179">
        <f t="shared" si="32"/>
        <v>1</v>
      </c>
      <c r="G31" s="179">
        <f t="shared" si="23"/>
        <v>1</v>
      </c>
      <c r="H31" s="179">
        <f t="shared" si="24"/>
        <v>1</v>
      </c>
      <c r="I31" s="179">
        <f t="shared" si="25"/>
        <v>1</v>
      </c>
      <c r="J31" s="179">
        <f t="shared" si="26"/>
        <v>1</v>
      </c>
      <c r="K31" s="179">
        <f t="shared" si="27"/>
        <v>1</v>
      </c>
      <c r="L31" s="179">
        <f t="shared" si="28"/>
        <v>1</v>
      </c>
      <c r="M31" s="179">
        <f t="shared" si="29"/>
        <v>1</v>
      </c>
      <c r="N31" s="179">
        <f t="shared" si="30"/>
        <v>1</v>
      </c>
      <c r="O31" s="180">
        <f t="shared" si="31"/>
        <v>1</v>
      </c>
      <c r="P31" s="163">
        <f t="shared" si="21"/>
        <v>12</v>
      </c>
    </row>
    <row r="32" spans="1:16" s="41" customFormat="1" ht="13" thickBot="1">
      <c r="A32" s="40"/>
      <c r="B32" s="73" t="s">
        <v>86</v>
      </c>
      <c r="C32" s="46" t="s">
        <v>39</v>
      </c>
      <c r="D32" s="179">
        <v>0.5</v>
      </c>
      <c r="E32" s="179">
        <f t="shared" ref="E32:F32" si="33">D32</f>
        <v>0.5</v>
      </c>
      <c r="F32" s="179">
        <f t="shared" si="33"/>
        <v>0.5</v>
      </c>
      <c r="G32" s="179">
        <f t="shared" si="23"/>
        <v>0.5</v>
      </c>
      <c r="H32" s="179">
        <f t="shared" si="24"/>
        <v>0.5</v>
      </c>
      <c r="I32" s="179">
        <f t="shared" si="25"/>
        <v>0.5</v>
      </c>
      <c r="J32" s="179">
        <f t="shared" si="26"/>
        <v>0.5</v>
      </c>
      <c r="K32" s="179">
        <f t="shared" si="27"/>
        <v>0.5</v>
      </c>
      <c r="L32" s="179">
        <f t="shared" si="28"/>
        <v>0.5</v>
      </c>
      <c r="M32" s="179">
        <f t="shared" si="29"/>
        <v>0.5</v>
      </c>
      <c r="N32" s="179">
        <f t="shared" si="30"/>
        <v>0.5</v>
      </c>
      <c r="O32" s="180">
        <f t="shared" si="31"/>
        <v>0.5</v>
      </c>
      <c r="P32" s="163">
        <f t="shared" si="21"/>
        <v>6</v>
      </c>
    </row>
    <row r="33" spans="1:16" s="41" customFormat="1" ht="13.5" thickBot="1">
      <c r="A33" s="40"/>
      <c r="B33" s="56" t="s">
        <v>81</v>
      </c>
      <c r="C33" s="57"/>
      <c r="D33" s="58">
        <f t="shared" ref="D33:O33" si="34">SUM(D28:D32)</f>
        <v>15.5</v>
      </c>
      <c r="E33" s="58">
        <f t="shared" si="34"/>
        <v>15.5</v>
      </c>
      <c r="F33" s="58">
        <f t="shared" si="34"/>
        <v>15.5</v>
      </c>
      <c r="G33" s="58">
        <f t="shared" si="34"/>
        <v>15.5</v>
      </c>
      <c r="H33" s="58">
        <f t="shared" si="34"/>
        <v>15.5</v>
      </c>
      <c r="I33" s="58">
        <f t="shared" si="34"/>
        <v>15.5</v>
      </c>
      <c r="J33" s="58">
        <f t="shared" si="34"/>
        <v>15.5</v>
      </c>
      <c r="K33" s="58">
        <f t="shared" si="34"/>
        <v>15.5</v>
      </c>
      <c r="L33" s="58">
        <f t="shared" si="34"/>
        <v>15.5</v>
      </c>
      <c r="M33" s="58">
        <f t="shared" si="34"/>
        <v>15.5</v>
      </c>
      <c r="N33" s="58">
        <f t="shared" si="34"/>
        <v>15.5</v>
      </c>
      <c r="O33" s="162">
        <f t="shared" si="34"/>
        <v>15.5</v>
      </c>
      <c r="P33" s="164">
        <f>SUM(D33:O33)</f>
        <v>186</v>
      </c>
    </row>
    <row r="34" spans="1:16" s="41" customFormat="1" ht="13">
      <c r="A34" s="40"/>
      <c r="B34" s="51"/>
      <c r="C34" s="45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1:16" s="41" customFormat="1" ht="13.5" thickBot="1">
      <c r="A35" s="40"/>
      <c r="B35" s="51"/>
      <c r="C35" s="45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</row>
    <row r="36" spans="1:16" s="41" customFormat="1" ht="13.5" thickBot="1">
      <c r="A36" s="40"/>
      <c r="B36" s="298" t="s">
        <v>157</v>
      </c>
      <c r="C36" s="299" t="s">
        <v>92</v>
      </c>
      <c r="D36" s="303" t="str">
        <f t="shared" ref="D36:O36" si="35">D$13</f>
        <v>Jan</v>
      </c>
      <c r="E36" s="303" t="str">
        <f t="shared" si="35"/>
        <v>Feb</v>
      </c>
      <c r="F36" s="303" t="str">
        <f t="shared" si="35"/>
        <v>Mar</v>
      </c>
      <c r="G36" s="303" t="str">
        <f t="shared" si="35"/>
        <v>Apr</v>
      </c>
      <c r="H36" s="303" t="str">
        <f t="shared" si="35"/>
        <v>May</v>
      </c>
      <c r="I36" s="303" t="str">
        <f t="shared" si="35"/>
        <v>Jun</v>
      </c>
      <c r="J36" s="303" t="str">
        <f t="shared" si="35"/>
        <v>Jul</v>
      </c>
      <c r="K36" s="303" t="str">
        <f t="shared" si="35"/>
        <v>Aug</v>
      </c>
      <c r="L36" s="303" t="str">
        <f t="shared" si="35"/>
        <v>Sep</v>
      </c>
      <c r="M36" s="303" t="str">
        <f t="shared" si="35"/>
        <v>Oct</v>
      </c>
      <c r="N36" s="303" t="str">
        <f t="shared" si="35"/>
        <v>Nov</v>
      </c>
      <c r="O36" s="304" t="str">
        <f t="shared" si="35"/>
        <v>Dec</v>
      </c>
      <c r="P36" s="281" t="s">
        <v>80</v>
      </c>
    </row>
    <row r="37" spans="1:16" s="41" customFormat="1">
      <c r="B37" s="424" t="s">
        <v>165</v>
      </c>
      <c r="C37" s="54" t="s">
        <v>32</v>
      </c>
      <c r="D37" s="179">
        <v>2</v>
      </c>
      <c r="E37" s="179">
        <f t="shared" ref="E37:O37" si="36">D37</f>
        <v>2</v>
      </c>
      <c r="F37" s="179">
        <f t="shared" si="36"/>
        <v>2</v>
      </c>
      <c r="G37" s="179">
        <f t="shared" si="36"/>
        <v>2</v>
      </c>
      <c r="H37" s="179">
        <f t="shared" si="36"/>
        <v>2</v>
      </c>
      <c r="I37" s="179">
        <f t="shared" si="36"/>
        <v>2</v>
      </c>
      <c r="J37" s="179">
        <f t="shared" si="36"/>
        <v>2</v>
      </c>
      <c r="K37" s="179">
        <f t="shared" si="36"/>
        <v>2</v>
      </c>
      <c r="L37" s="179">
        <f t="shared" si="36"/>
        <v>2</v>
      </c>
      <c r="M37" s="179">
        <f t="shared" si="36"/>
        <v>2</v>
      </c>
      <c r="N37" s="179">
        <f t="shared" si="36"/>
        <v>2</v>
      </c>
      <c r="O37" s="180">
        <f t="shared" si="36"/>
        <v>2</v>
      </c>
      <c r="P37" s="163">
        <f>SUM(D37:O37)</f>
        <v>24</v>
      </c>
    </row>
    <row r="38" spans="1:16" s="41" customFormat="1">
      <c r="B38" s="66" t="s">
        <v>104</v>
      </c>
      <c r="C38" s="46" t="s">
        <v>32</v>
      </c>
      <c r="D38" s="179">
        <v>1</v>
      </c>
      <c r="E38" s="179">
        <f t="shared" ref="E38" si="37">D38</f>
        <v>1</v>
      </c>
      <c r="F38" s="179">
        <f t="shared" ref="F38" si="38">E38</f>
        <v>1</v>
      </c>
      <c r="G38" s="179">
        <f t="shared" ref="G38" si="39">F38</f>
        <v>1</v>
      </c>
      <c r="H38" s="179">
        <f t="shared" ref="H38" si="40">G38</f>
        <v>1</v>
      </c>
      <c r="I38" s="179">
        <f t="shared" ref="I38" si="41">H38</f>
        <v>1</v>
      </c>
      <c r="J38" s="179">
        <f t="shared" ref="J38" si="42">I38</f>
        <v>1</v>
      </c>
      <c r="K38" s="179">
        <f t="shared" ref="K38" si="43">J38</f>
        <v>1</v>
      </c>
      <c r="L38" s="179">
        <f t="shared" ref="L38" si="44">K38</f>
        <v>1</v>
      </c>
      <c r="M38" s="179">
        <f t="shared" ref="M38" si="45">L38</f>
        <v>1</v>
      </c>
      <c r="N38" s="179">
        <f t="shared" ref="N38" si="46">M38</f>
        <v>1</v>
      </c>
      <c r="O38" s="180">
        <f t="shared" ref="O38" si="47">N38</f>
        <v>1</v>
      </c>
      <c r="P38" s="163">
        <f t="shared" ref="P38:P40" si="48">SUM(D38:O38)</f>
        <v>12</v>
      </c>
    </row>
    <row r="39" spans="1:16" s="41" customFormat="1">
      <c r="B39" s="66" t="s">
        <v>105</v>
      </c>
      <c r="C39" s="46" t="s">
        <v>32</v>
      </c>
      <c r="D39" s="179"/>
      <c r="E39" s="179">
        <v>2</v>
      </c>
      <c r="F39" s="179"/>
      <c r="G39" s="179"/>
      <c r="H39" s="179">
        <v>2</v>
      </c>
      <c r="I39" s="179"/>
      <c r="J39" s="179"/>
      <c r="K39" s="179">
        <v>2</v>
      </c>
      <c r="L39" s="179"/>
      <c r="M39" s="179"/>
      <c r="N39" s="179">
        <v>2</v>
      </c>
      <c r="O39" s="180"/>
      <c r="P39" s="163">
        <f t="shared" si="48"/>
        <v>8</v>
      </c>
    </row>
    <row r="40" spans="1:16" s="41" customFormat="1" ht="12.75" customHeight="1" thickBot="1">
      <c r="B40" s="68" t="s">
        <v>106</v>
      </c>
      <c r="C40" s="55" t="s">
        <v>32</v>
      </c>
      <c r="D40" s="181">
        <v>1</v>
      </c>
      <c r="E40" s="181">
        <f>D40</f>
        <v>1</v>
      </c>
      <c r="F40" s="181">
        <f>D40</f>
        <v>1</v>
      </c>
      <c r="G40" s="181">
        <f>D40</f>
        <v>1</v>
      </c>
      <c r="H40" s="181">
        <f>D40</f>
        <v>1</v>
      </c>
      <c r="I40" s="181">
        <f>D40</f>
        <v>1</v>
      </c>
      <c r="J40" s="181">
        <f>D40</f>
        <v>1</v>
      </c>
      <c r="K40" s="181">
        <f>D40</f>
        <v>1</v>
      </c>
      <c r="L40" s="181">
        <f>D40</f>
        <v>1</v>
      </c>
      <c r="M40" s="181">
        <f>D40</f>
        <v>1</v>
      </c>
      <c r="N40" s="181">
        <f>D40</f>
        <v>1</v>
      </c>
      <c r="O40" s="182">
        <f>D40</f>
        <v>1</v>
      </c>
      <c r="P40" s="163">
        <f t="shared" si="48"/>
        <v>12</v>
      </c>
    </row>
    <row r="41" spans="1:16" s="41" customFormat="1" ht="13.5" thickBot="1">
      <c r="B41" s="56" t="s">
        <v>81</v>
      </c>
      <c r="C41" s="57"/>
      <c r="D41" s="58">
        <f t="shared" ref="D41:O41" si="49">SUM(D37:D40)</f>
        <v>4</v>
      </c>
      <c r="E41" s="58">
        <f t="shared" si="49"/>
        <v>6</v>
      </c>
      <c r="F41" s="58">
        <f t="shared" si="49"/>
        <v>4</v>
      </c>
      <c r="G41" s="58">
        <f t="shared" si="49"/>
        <v>4</v>
      </c>
      <c r="H41" s="58">
        <f t="shared" si="49"/>
        <v>6</v>
      </c>
      <c r="I41" s="58">
        <f t="shared" si="49"/>
        <v>4</v>
      </c>
      <c r="J41" s="58">
        <f t="shared" si="49"/>
        <v>4</v>
      </c>
      <c r="K41" s="58">
        <f t="shared" si="49"/>
        <v>6</v>
      </c>
      <c r="L41" s="58">
        <f t="shared" si="49"/>
        <v>4</v>
      </c>
      <c r="M41" s="58">
        <f t="shared" si="49"/>
        <v>4</v>
      </c>
      <c r="N41" s="58">
        <f t="shared" si="49"/>
        <v>6</v>
      </c>
      <c r="O41" s="58">
        <f t="shared" si="49"/>
        <v>4</v>
      </c>
      <c r="P41" s="164">
        <f>SUM(D41:O41)</f>
        <v>56</v>
      </c>
    </row>
    <row r="42" spans="1:16" s="41" customFormat="1">
      <c r="B42" s="59"/>
      <c r="C42" s="45"/>
    </row>
    <row r="43" spans="1:16" s="41" customFormat="1" ht="13" thickBot="1">
      <c r="B43" s="59"/>
      <c r="C43" s="45"/>
    </row>
    <row r="44" spans="1:16" s="41" customFormat="1" ht="13.5" thickBot="1">
      <c r="A44" s="40"/>
      <c r="B44" s="298" t="s">
        <v>146</v>
      </c>
      <c r="C44" s="299" t="s">
        <v>92</v>
      </c>
      <c r="D44" s="303" t="str">
        <f t="shared" ref="D44:O44" si="50">D$13</f>
        <v>Jan</v>
      </c>
      <c r="E44" s="303" t="str">
        <f t="shared" si="50"/>
        <v>Feb</v>
      </c>
      <c r="F44" s="303" t="str">
        <f t="shared" si="50"/>
        <v>Mar</v>
      </c>
      <c r="G44" s="303" t="str">
        <f t="shared" si="50"/>
        <v>Apr</v>
      </c>
      <c r="H44" s="303" t="str">
        <f t="shared" si="50"/>
        <v>May</v>
      </c>
      <c r="I44" s="303" t="str">
        <f t="shared" si="50"/>
        <v>Jun</v>
      </c>
      <c r="J44" s="303" t="str">
        <f t="shared" si="50"/>
        <v>Jul</v>
      </c>
      <c r="K44" s="303" t="str">
        <f t="shared" si="50"/>
        <v>Aug</v>
      </c>
      <c r="L44" s="303" t="str">
        <f t="shared" si="50"/>
        <v>Sep</v>
      </c>
      <c r="M44" s="303" t="str">
        <f t="shared" si="50"/>
        <v>Oct</v>
      </c>
      <c r="N44" s="303" t="str">
        <f t="shared" si="50"/>
        <v>Nov</v>
      </c>
      <c r="O44" s="305" t="str">
        <f t="shared" si="50"/>
        <v>Dec</v>
      </c>
      <c r="P44" s="306" t="s">
        <v>80</v>
      </c>
    </row>
    <row r="45" spans="1:16" s="41" customFormat="1">
      <c r="B45" s="425" t="s">
        <v>166</v>
      </c>
      <c r="C45" s="194" t="s">
        <v>1</v>
      </c>
      <c r="D45" s="195">
        <f>(205*6+205*67.4+300+2500)/1000/USD</f>
        <v>5.0991428571428576</v>
      </c>
      <c r="E45" s="197">
        <f t="shared" ref="E45:O45" si="51">D45</f>
        <v>5.0991428571428576</v>
      </c>
      <c r="F45" s="197">
        <f t="shared" si="51"/>
        <v>5.0991428571428576</v>
      </c>
      <c r="G45" s="197">
        <f t="shared" si="51"/>
        <v>5.0991428571428576</v>
      </c>
      <c r="H45" s="197">
        <f t="shared" si="51"/>
        <v>5.0991428571428576</v>
      </c>
      <c r="I45" s="197">
        <f t="shared" si="51"/>
        <v>5.0991428571428576</v>
      </c>
      <c r="J45" s="197">
        <f t="shared" si="51"/>
        <v>5.0991428571428576</v>
      </c>
      <c r="K45" s="197">
        <f t="shared" si="51"/>
        <v>5.0991428571428576</v>
      </c>
      <c r="L45" s="197">
        <f t="shared" si="51"/>
        <v>5.0991428571428576</v>
      </c>
      <c r="M45" s="197">
        <f t="shared" si="51"/>
        <v>5.0991428571428576</v>
      </c>
      <c r="N45" s="197">
        <f t="shared" si="51"/>
        <v>5.0991428571428576</v>
      </c>
      <c r="O45" s="198">
        <f t="shared" si="51"/>
        <v>5.0991428571428576</v>
      </c>
      <c r="P45" s="199">
        <f>SUM(D45:O45)</f>
        <v>61.189714285714295</v>
      </c>
    </row>
    <row r="46" spans="1:16" s="41" customFormat="1">
      <c r="B46" s="66" t="s">
        <v>140</v>
      </c>
      <c r="C46" s="46" t="s">
        <v>1</v>
      </c>
      <c r="D46" s="60">
        <f>'Payroll &amp; related'!J21*0.6/USD</f>
        <v>1.3714285714285714</v>
      </c>
      <c r="E46" s="60">
        <f>'Payroll &amp; related'!K21*0.6/USD</f>
        <v>1.3714285714285714</v>
      </c>
      <c r="F46" s="60">
        <f>'Payroll &amp; related'!L21*0.6/USD</f>
        <v>1.3714285714285714</v>
      </c>
      <c r="G46" s="60">
        <f>'Payroll &amp; related'!M21*0.6/USD</f>
        <v>1.5428571428571427</v>
      </c>
      <c r="H46" s="60">
        <f>'Payroll &amp; related'!N21*0.6/USD</f>
        <v>1.5428571428571427</v>
      </c>
      <c r="I46" s="60">
        <f>'Payroll &amp; related'!O21*0.6/USD</f>
        <v>1.5428571428571427</v>
      </c>
      <c r="J46" s="60">
        <f>'Payroll &amp; related'!P21*0.6/USD</f>
        <v>1.5428571428571427</v>
      </c>
      <c r="K46" s="60">
        <f>'Payroll &amp; related'!Q21*0.6/USD</f>
        <v>1.5428571428571427</v>
      </c>
      <c r="L46" s="60">
        <f>'Payroll &amp; related'!R21*0.6/USD</f>
        <v>1.5428571428571427</v>
      </c>
      <c r="M46" s="60">
        <f>'Payroll &amp; related'!S21*0.6/USD</f>
        <v>1.5428571428571427</v>
      </c>
      <c r="N46" s="60">
        <f>'Payroll &amp; related'!T21*0.6/USD</f>
        <v>1.5428571428571427</v>
      </c>
      <c r="O46" s="60">
        <f>'Payroll &amp; related'!U21*0.6/USD</f>
        <v>1.5428571428571427</v>
      </c>
      <c r="P46" s="199">
        <f t="shared" ref="P46:P47" si="52">SUM(D46:O46)</f>
        <v>18</v>
      </c>
    </row>
    <row r="47" spans="1:16" s="41" customFormat="1" ht="13" thickBot="1">
      <c r="B47" s="73" t="s">
        <v>110</v>
      </c>
      <c r="C47" s="54" t="s">
        <v>1</v>
      </c>
      <c r="D47" s="60">
        <f>'Payroll &amp; related'!J21*Assumptions!$C$18/1000</f>
        <v>1.6</v>
      </c>
      <c r="E47" s="60">
        <f>'Payroll &amp; related'!K21*Assumptions!$C$18/1000</f>
        <v>1.6</v>
      </c>
      <c r="F47" s="60">
        <f>'Payroll &amp; related'!L21*Assumptions!$C$18/1000</f>
        <v>1.6</v>
      </c>
      <c r="G47" s="60">
        <f>'Payroll &amp; related'!M21*Assumptions!$C$18/1000</f>
        <v>1.8</v>
      </c>
      <c r="H47" s="60">
        <f>'Payroll &amp; related'!N21*Assumptions!$C$18/1000</f>
        <v>1.8</v>
      </c>
      <c r="I47" s="60">
        <f>'Payroll &amp; related'!O21*Assumptions!$C$18/1000</f>
        <v>1.8</v>
      </c>
      <c r="J47" s="60">
        <f>'Payroll &amp; related'!P21*Assumptions!$C$18/1000</f>
        <v>1.8</v>
      </c>
      <c r="K47" s="60">
        <f>'Payroll &amp; related'!Q21*Assumptions!$C$18/1000</f>
        <v>1.8</v>
      </c>
      <c r="L47" s="60">
        <f>'Payroll &amp; related'!R21*Assumptions!$C$18/1000</f>
        <v>1.8</v>
      </c>
      <c r="M47" s="60">
        <f>'Payroll &amp; related'!S21*Assumptions!$C$18/1000</f>
        <v>1.8</v>
      </c>
      <c r="N47" s="60">
        <f>'Payroll &amp; related'!T21*Assumptions!$C$18/1000</f>
        <v>1.8</v>
      </c>
      <c r="O47" s="72">
        <f>'Payroll &amp; related'!U21*Assumptions!$C$18/1000</f>
        <v>1.8</v>
      </c>
      <c r="P47" s="199">
        <f t="shared" si="52"/>
        <v>21.000000000000004</v>
      </c>
    </row>
    <row r="48" spans="1:16" s="41" customFormat="1" ht="13.5" thickBot="1">
      <c r="B48" s="56" t="s">
        <v>6</v>
      </c>
      <c r="C48" s="57"/>
      <c r="D48" s="58">
        <f t="shared" ref="D48:O48" si="53">SUM(D45:D47)</f>
        <v>8.0705714285714283</v>
      </c>
      <c r="E48" s="58">
        <f t="shared" si="53"/>
        <v>8.0705714285714283</v>
      </c>
      <c r="F48" s="58">
        <f t="shared" si="53"/>
        <v>8.0705714285714283</v>
      </c>
      <c r="G48" s="58">
        <f t="shared" si="53"/>
        <v>8.4420000000000002</v>
      </c>
      <c r="H48" s="58">
        <f t="shared" si="53"/>
        <v>8.4420000000000002</v>
      </c>
      <c r="I48" s="58">
        <f t="shared" si="53"/>
        <v>8.4420000000000002</v>
      </c>
      <c r="J48" s="58">
        <f t="shared" si="53"/>
        <v>8.4420000000000002</v>
      </c>
      <c r="K48" s="58">
        <f t="shared" si="53"/>
        <v>8.4420000000000002</v>
      </c>
      <c r="L48" s="58">
        <f t="shared" si="53"/>
        <v>8.4420000000000002</v>
      </c>
      <c r="M48" s="58">
        <f t="shared" si="53"/>
        <v>8.4420000000000002</v>
      </c>
      <c r="N48" s="58">
        <f t="shared" si="53"/>
        <v>8.4420000000000002</v>
      </c>
      <c r="O48" s="71">
        <f t="shared" si="53"/>
        <v>8.4420000000000002</v>
      </c>
      <c r="P48" s="155">
        <f>SUM(D48:O48)</f>
        <v>100.1897142857143</v>
      </c>
    </row>
    <row r="49" spans="1:20" s="41" customFormat="1">
      <c r="B49" s="59"/>
      <c r="C49" s="45"/>
    </row>
    <row r="50" spans="1:20" s="41" customFormat="1" ht="13" thickBot="1">
      <c r="B50" s="59"/>
      <c r="C50" s="45"/>
    </row>
    <row r="51" spans="1:20" s="41" customFormat="1" ht="13.5" thickBot="1">
      <c r="A51" s="40"/>
      <c r="B51" s="298" t="s">
        <v>147</v>
      </c>
      <c r="C51" s="299" t="s">
        <v>92</v>
      </c>
      <c r="D51" s="303" t="str">
        <f t="shared" ref="D51:O51" si="54">D$13</f>
        <v>Jan</v>
      </c>
      <c r="E51" s="303" t="str">
        <f t="shared" si="54"/>
        <v>Feb</v>
      </c>
      <c r="F51" s="303" t="str">
        <f t="shared" si="54"/>
        <v>Mar</v>
      </c>
      <c r="G51" s="303" t="str">
        <f t="shared" si="54"/>
        <v>Apr</v>
      </c>
      <c r="H51" s="303" t="str">
        <f t="shared" si="54"/>
        <v>May</v>
      </c>
      <c r="I51" s="303" t="str">
        <f t="shared" si="54"/>
        <v>Jun</v>
      </c>
      <c r="J51" s="303" t="str">
        <f t="shared" si="54"/>
        <v>Jul</v>
      </c>
      <c r="K51" s="303" t="str">
        <f t="shared" si="54"/>
        <v>Aug</v>
      </c>
      <c r="L51" s="303" t="str">
        <f t="shared" si="54"/>
        <v>Sep</v>
      </c>
      <c r="M51" s="303" t="str">
        <f t="shared" si="54"/>
        <v>Oct</v>
      </c>
      <c r="N51" s="303" t="str">
        <f t="shared" si="54"/>
        <v>Nov</v>
      </c>
      <c r="O51" s="305" t="str">
        <f t="shared" si="54"/>
        <v>Dec</v>
      </c>
      <c r="P51" s="302" t="s">
        <v>80</v>
      </c>
    </row>
    <row r="52" spans="1:20" s="41" customFormat="1">
      <c r="B52" s="193" t="s">
        <v>23</v>
      </c>
      <c r="C52" s="194" t="s">
        <v>1</v>
      </c>
      <c r="D52" s="195">
        <v>1</v>
      </c>
      <c r="E52" s="195">
        <f>D52</f>
        <v>1</v>
      </c>
      <c r="F52" s="195">
        <f>D52</f>
        <v>1</v>
      </c>
      <c r="G52" s="195">
        <f>D52</f>
        <v>1</v>
      </c>
      <c r="H52" s="195">
        <f>D52</f>
        <v>1</v>
      </c>
      <c r="I52" s="195">
        <f>D52</f>
        <v>1</v>
      </c>
      <c r="J52" s="195">
        <f>D52</f>
        <v>1</v>
      </c>
      <c r="K52" s="195">
        <f>D52</f>
        <v>1</v>
      </c>
      <c r="L52" s="195">
        <f>D52</f>
        <v>1</v>
      </c>
      <c r="M52" s="195">
        <f>D52</f>
        <v>1</v>
      </c>
      <c r="N52" s="195">
        <f>D52</f>
        <v>1</v>
      </c>
      <c r="O52" s="196">
        <f>D52</f>
        <v>1</v>
      </c>
      <c r="P52" s="196">
        <f>SUM(D52:O52)</f>
        <v>12</v>
      </c>
      <c r="R52" s="40"/>
      <c r="T52" s="40"/>
    </row>
    <row r="53" spans="1:20" s="41" customFormat="1">
      <c r="B53" s="66" t="s">
        <v>111</v>
      </c>
      <c r="C53" s="54" t="s">
        <v>1</v>
      </c>
      <c r="D53" s="61">
        <v>1</v>
      </c>
      <c r="E53" s="179">
        <f>D53</f>
        <v>1</v>
      </c>
      <c r="F53" s="179">
        <f>D53</f>
        <v>1</v>
      </c>
      <c r="G53" s="179">
        <f>D53</f>
        <v>1</v>
      </c>
      <c r="H53" s="179">
        <f>D53</f>
        <v>1</v>
      </c>
      <c r="I53" s="179">
        <f>D53</f>
        <v>1</v>
      </c>
      <c r="J53" s="179">
        <f>D53</f>
        <v>1</v>
      </c>
      <c r="K53" s="179">
        <f>D53</f>
        <v>1</v>
      </c>
      <c r="L53" s="179">
        <f>D53</f>
        <v>1</v>
      </c>
      <c r="M53" s="179">
        <f>D53</f>
        <v>1</v>
      </c>
      <c r="N53" s="179">
        <f>D53</f>
        <v>1</v>
      </c>
      <c r="O53" s="70">
        <f>D53</f>
        <v>1</v>
      </c>
      <c r="P53" s="196">
        <f t="shared" ref="P53:P54" si="55">SUM(D53:O53)</f>
        <v>12</v>
      </c>
    </row>
    <row r="54" spans="1:20" s="41" customFormat="1" ht="13" thickBot="1">
      <c r="B54" s="482" t="s">
        <v>167</v>
      </c>
      <c r="C54" s="62" t="s">
        <v>1</v>
      </c>
      <c r="D54" s="187">
        <v>2</v>
      </c>
      <c r="E54" s="179">
        <f>D54</f>
        <v>2</v>
      </c>
      <c r="F54" s="179">
        <f>D54</f>
        <v>2</v>
      </c>
      <c r="G54" s="179">
        <f>D54</f>
        <v>2</v>
      </c>
      <c r="H54" s="179">
        <f>D54</f>
        <v>2</v>
      </c>
      <c r="I54" s="179">
        <f>D54</f>
        <v>2</v>
      </c>
      <c r="J54" s="179">
        <f>D54</f>
        <v>2</v>
      </c>
      <c r="K54" s="179">
        <f>D54</f>
        <v>2</v>
      </c>
      <c r="L54" s="179">
        <f>D54</f>
        <v>2</v>
      </c>
      <c r="M54" s="179">
        <f>D54</f>
        <v>2</v>
      </c>
      <c r="N54" s="179">
        <f>D54</f>
        <v>2</v>
      </c>
      <c r="O54" s="70">
        <f>D54</f>
        <v>2</v>
      </c>
      <c r="P54" s="196">
        <f t="shared" si="55"/>
        <v>24</v>
      </c>
    </row>
    <row r="55" spans="1:20" s="41" customFormat="1" ht="13.5" thickBot="1">
      <c r="B55" s="56" t="s">
        <v>7</v>
      </c>
      <c r="C55" s="57"/>
      <c r="D55" s="58">
        <f t="shared" ref="D55:O55" si="56">SUM(D52:D54)</f>
        <v>4</v>
      </c>
      <c r="E55" s="58">
        <f t="shared" si="56"/>
        <v>4</v>
      </c>
      <c r="F55" s="58">
        <f t="shared" si="56"/>
        <v>4</v>
      </c>
      <c r="G55" s="58">
        <f t="shared" si="56"/>
        <v>4</v>
      </c>
      <c r="H55" s="58">
        <f t="shared" si="56"/>
        <v>4</v>
      </c>
      <c r="I55" s="58">
        <f t="shared" si="56"/>
        <v>4</v>
      </c>
      <c r="J55" s="58">
        <f t="shared" si="56"/>
        <v>4</v>
      </c>
      <c r="K55" s="58">
        <f t="shared" si="56"/>
        <v>4</v>
      </c>
      <c r="L55" s="58">
        <f t="shared" si="56"/>
        <v>4</v>
      </c>
      <c r="M55" s="58">
        <f t="shared" si="56"/>
        <v>4</v>
      </c>
      <c r="N55" s="58">
        <f t="shared" si="56"/>
        <v>4</v>
      </c>
      <c r="O55" s="71">
        <f t="shared" si="56"/>
        <v>4</v>
      </c>
      <c r="P55" s="71">
        <f>SUM(D55:O55)</f>
        <v>48</v>
      </c>
    </row>
    <row r="56" spans="1:20" s="41" customFormat="1">
      <c r="B56" s="59"/>
      <c r="C56" s="45"/>
    </row>
    <row r="57" spans="1:20" s="41" customFormat="1" ht="13" thickBot="1">
      <c r="B57" s="59"/>
      <c r="C57" s="45"/>
    </row>
    <row r="58" spans="1:20" s="41" customFormat="1" ht="13.5" thickBot="1">
      <c r="B58" s="307" t="s">
        <v>52</v>
      </c>
      <c r="C58" s="299" t="s">
        <v>92</v>
      </c>
      <c r="D58" s="308" t="s">
        <v>14</v>
      </c>
      <c r="E58" s="308" t="s">
        <v>15</v>
      </c>
      <c r="F58" s="308" t="s">
        <v>16</v>
      </c>
      <c r="G58" s="308" t="s">
        <v>17</v>
      </c>
      <c r="H58" s="308" t="s">
        <v>18</v>
      </c>
      <c r="I58" s="308" t="s">
        <v>19</v>
      </c>
      <c r="J58" s="308" t="s">
        <v>72</v>
      </c>
      <c r="K58" s="308" t="s">
        <v>73</v>
      </c>
      <c r="L58" s="308" t="s">
        <v>74</v>
      </c>
      <c r="M58" s="308" t="s">
        <v>75</v>
      </c>
      <c r="N58" s="308" t="s">
        <v>76</v>
      </c>
      <c r="O58" s="308" t="s">
        <v>77</v>
      </c>
      <c r="P58" s="281" t="s">
        <v>80</v>
      </c>
    </row>
    <row r="59" spans="1:20" s="41" customFormat="1" ht="13">
      <c r="B59" s="252" t="s">
        <v>46</v>
      </c>
      <c r="C59" s="274" t="s">
        <v>34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271"/>
      <c r="P59" s="272">
        <f>SUM(D59:O59)</f>
        <v>0</v>
      </c>
    </row>
    <row r="60" spans="1:20" s="41" customFormat="1" ht="13">
      <c r="B60" s="35" t="s">
        <v>47</v>
      </c>
      <c r="C60" s="275" t="s">
        <v>0</v>
      </c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246"/>
      <c r="P60" s="253">
        <f>SUM(D60:O60)</f>
        <v>0</v>
      </c>
    </row>
    <row r="61" spans="1:20" s="41" customFormat="1" ht="13">
      <c r="B61" s="35" t="s">
        <v>48</v>
      </c>
      <c r="C61" s="275" t="s">
        <v>39</v>
      </c>
      <c r="D61" s="147">
        <v>1</v>
      </c>
      <c r="E61" s="147">
        <v>1</v>
      </c>
      <c r="F61" s="147">
        <v>1</v>
      </c>
      <c r="G61" s="147">
        <v>1</v>
      </c>
      <c r="H61" s="147">
        <v>1</v>
      </c>
      <c r="I61" s="147">
        <v>1</v>
      </c>
      <c r="J61" s="147">
        <v>1</v>
      </c>
      <c r="K61" s="147">
        <v>1</v>
      </c>
      <c r="L61" s="147">
        <v>1</v>
      </c>
      <c r="M61" s="147">
        <v>1</v>
      </c>
      <c r="N61" s="147">
        <v>1</v>
      </c>
      <c r="O61" s="246">
        <v>1</v>
      </c>
      <c r="P61" s="253">
        <f>SUM(D61:O61)</f>
        <v>12</v>
      </c>
    </row>
    <row r="62" spans="1:20" s="41" customFormat="1" ht="13.5" thickBot="1">
      <c r="B62" s="270" t="s">
        <v>49</v>
      </c>
      <c r="C62" s="113" t="s">
        <v>1</v>
      </c>
      <c r="D62" s="261">
        <v>8</v>
      </c>
      <c r="E62" s="261"/>
      <c r="F62" s="261">
        <v>4</v>
      </c>
      <c r="G62" s="261">
        <v>8</v>
      </c>
      <c r="H62" s="261"/>
      <c r="I62" s="261">
        <v>8</v>
      </c>
      <c r="J62" s="261">
        <v>8</v>
      </c>
      <c r="K62" s="261"/>
      <c r="L62" s="261">
        <v>4</v>
      </c>
      <c r="M62" s="261">
        <v>4</v>
      </c>
      <c r="N62" s="261"/>
      <c r="O62" s="262">
        <v>4</v>
      </c>
      <c r="P62" s="273">
        <f>SUM(D62:O62)</f>
        <v>48</v>
      </c>
    </row>
    <row r="63" spans="1:20" s="41" customFormat="1" ht="13.5" thickBot="1">
      <c r="B63" s="117" t="s">
        <v>50</v>
      </c>
      <c r="C63" s="118"/>
      <c r="D63" s="144">
        <f t="shared" ref="D63:P63" si="57">SUM(D59:D62)</f>
        <v>9</v>
      </c>
      <c r="E63" s="144">
        <f t="shared" si="57"/>
        <v>1</v>
      </c>
      <c r="F63" s="144">
        <f t="shared" si="57"/>
        <v>5</v>
      </c>
      <c r="G63" s="144">
        <f t="shared" si="57"/>
        <v>9</v>
      </c>
      <c r="H63" s="144">
        <f t="shared" si="57"/>
        <v>1</v>
      </c>
      <c r="I63" s="144">
        <f t="shared" si="57"/>
        <v>9</v>
      </c>
      <c r="J63" s="144">
        <f t="shared" si="57"/>
        <v>9</v>
      </c>
      <c r="K63" s="144">
        <f t="shared" si="57"/>
        <v>1</v>
      </c>
      <c r="L63" s="144">
        <f t="shared" si="57"/>
        <v>5</v>
      </c>
      <c r="M63" s="144">
        <f t="shared" si="57"/>
        <v>5</v>
      </c>
      <c r="N63" s="144">
        <f t="shared" si="57"/>
        <v>1</v>
      </c>
      <c r="O63" s="247">
        <f t="shared" si="57"/>
        <v>5</v>
      </c>
      <c r="P63" s="248">
        <f t="shared" si="57"/>
        <v>60</v>
      </c>
    </row>
    <row r="64" spans="1:20" s="41" customFormat="1">
      <c r="B64" s="59"/>
      <c r="C64" s="45"/>
    </row>
    <row r="65" spans="1:16" s="41" customFormat="1" ht="13" thickBot="1">
      <c r="B65" s="59"/>
      <c r="C65" s="45"/>
    </row>
    <row r="66" spans="1:16" ht="13.5" thickBot="1">
      <c r="A66" s="41"/>
      <c r="B66" s="298" t="s">
        <v>24</v>
      </c>
      <c r="C66" s="299" t="s">
        <v>92</v>
      </c>
      <c r="D66" s="303" t="str">
        <f t="shared" ref="D66:O66" si="58">D$13</f>
        <v>Jan</v>
      </c>
      <c r="E66" s="303" t="str">
        <f t="shared" si="58"/>
        <v>Feb</v>
      </c>
      <c r="F66" s="303" t="str">
        <f t="shared" si="58"/>
        <v>Mar</v>
      </c>
      <c r="G66" s="303" t="str">
        <f t="shared" si="58"/>
        <v>Apr</v>
      </c>
      <c r="H66" s="303" t="str">
        <f t="shared" si="58"/>
        <v>May</v>
      </c>
      <c r="I66" s="303" t="str">
        <f t="shared" si="58"/>
        <v>Jun</v>
      </c>
      <c r="J66" s="303" t="str">
        <f t="shared" si="58"/>
        <v>Jul</v>
      </c>
      <c r="K66" s="303" t="str">
        <f t="shared" si="58"/>
        <v>Aug</v>
      </c>
      <c r="L66" s="303" t="str">
        <f t="shared" si="58"/>
        <v>Sep</v>
      </c>
      <c r="M66" s="303" t="str">
        <f t="shared" si="58"/>
        <v>Oct</v>
      </c>
      <c r="N66" s="303" t="str">
        <f t="shared" si="58"/>
        <v>Nov</v>
      </c>
      <c r="O66" s="305" t="str">
        <f t="shared" si="58"/>
        <v>Dec</v>
      </c>
      <c r="P66" s="302" t="s">
        <v>80</v>
      </c>
    </row>
    <row r="67" spans="1:16">
      <c r="B67" s="190" t="s">
        <v>60</v>
      </c>
      <c r="C67" s="63" t="s">
        <v>25</v>
      </c>
      <c r="D67" s="191"/>
      <c r="E67" s="191">
        <f>('Payroll &amp; related'!K23-'Payroll &amp; related'!J23)*(Assumptions!$C$16+Assumptions!$C$17)/1000</f>
        <v>0</v>
      </c>
      <c r="F67" s="191">
        <f>('Payroll &amp; related'!L23-'Payroll &amp; related'!K23)*(Assumptions!$C$16+Assumptions!$C$17)/1000</f>
        <v>2.8</v>
      </c>
      <c r="G67" s="191">
        <f>('Payroll &amp; related'!M23-'Payroll &amp; related'!L23)*(Assumptions!$C$16+Assumptions!$C$17)/1000</f>
        <v>5.6</v>
      </c>
      <c r="H67" s="191">
        <f>('Payroll &amp; related'!N23-'Payroll &amp; related'!M23)*(Assumptions!$C$16+Assumptions!$C$17)/1000</f>
        <v>2.8</v>
      </c>
      <c r="I67" s="191">
        <f>('Payroll &amp; related'!O23-'Payroll &amp; related'!N23)*(Assumptions!$C$16+Assumptions!$C$17)/1000</f>
        <v>0</v>
      </c>
      <c r="J67" s="191">
        <f>('Payroll &amp; related'!P23-'Payroll &amp; related'!O23)*(Assumptions!$C$16+Assumptions!$C$17)/1000</f>
        <v>0</v>
      </c>
      <c r="K67" s="191">
        <f>('Payroll &amp; related'!Q23-'Payroll &amp; related'!P23)*(Assumptions!$C$16+Assumptions!$C$17)/1000</f>
        <v>0</v>
      </c>
      <c r="L67" s="191">
        <f>('Payroll &amp; related'!R23-'Payroll &amp; related'!Q23)*(Assumptions!$C$16+Assumptions!$C$17)/1000</f>
        <v>0</v>
      </c>
      <c r="M67" s="191">
        <f>('Payroll &amp; related'!S23-'Payroll &amp; related'!R23)*(Assumptions!$C$16+Assumptions!$C$17)/1000</f>
        <v>0</v>
      </c>
      <c r="N67" s="191">
        <f>('Payroll &amp; related'!T23-'Payroll &amp; related'!S23)*(Assumptions!$C$16+Assumptions!$C$17)/1000</f>
        <v>0</v>
      </c>
      <c r="O67" s="192">
        <f>('Payroll &amp; related'!U23-'Payroll &amp; related'!T23)*(Assumptions!$C$16+Assumptions!$C$17)/10000</f>
        <v>0</v>
      </c>
      <c r="P67" s="192">
        <f>SUM(F67:O67)</f>
        <v>11.2</v>
      </c>
    </row>
    <row r="68" spans="1:16">
      <c r="B68" s="73" t="s">
        <v>26</v>
      </c>
      <c r="C68" s="46" t="s">
        <v>25</v>
      </c>
      <c r="D68" s="47">
        <v>0.5</v>
      </c>
      <c r="E68" s="179">
        <f>D68</f>
        <v>0.5</v>
      </c>
      <c r="F68" s="179">
        <f>D68</f>
        <v>0.5</v>
      </c>
      <c r="G68" s="179">
        <f>D68</f>
        <v>0.5</v>
      </c>
      <c r="H68" s="179">
        <f>D68</f>
        <v>0.5</v>
      </c>
      <c r="I68" s="179">
        <f>D68</f>
        <v>0.5</v>
      </c>
      <c r="J68" s="179">
        <f>D68</f>
        <v>0.5</v>
      </c>
      <c r="K68" s="179">
        <f>D68</f>
        <v>0.5</v>
      </c>
      <c r="L68" s="179">
        <f>D68</f>
        <v>0.5</v>
      </c>
      <c r="M68" s="179">
        <f>D68</f>
        <v>0.5</v>
      </c>
      <c r="N68" s="179">
        <f>D68</f>
        <v>0.5</v>
      </c>
      <c r="O68" s="70">
        <f>D68</f>
        <v>0.5</v>
      </c>
      <c r="P68" s="192">
        <f t="shared" ref="P68:P70" si="59">SUM(F68:O68)</f>
        <v>5</v>
      </c>
    </row>
    <row r="69" spans="1:16">
      <c r="B69" s="73" t="s">
        <v>27</v>
      </c>
      <c r="C69" s="46" t="s">
        <v>25</v>
      </c>
      <c r="D69" s="47"/>
      <c r="E69" s="47">
        <f>'Payroll &amp; related'!K23*Assumptions!$C$19/1000</f>
        <v>0.9</v>
      </c>
      <c r="F69" s="47">
        <f>'Payroll &amp; related'!L23*Assumptions!$C$19/1000</f>
        <v>1</v>
      </c>
      <c r="G69" s="47">
        <f>'Payroll &amp; related'!M23*Assumptions!$C$19/1000</f>
        <v>1.2</v>
      </c>
      <c r="H69" s="47">
        <f>'Payroll &amp; related'!N23*Assumptions!$C$19/1000</f>
        <v>1.3</v>
      </c>
      <c r="I69" s="47">
        <f>'Payroll &amp; related'!O23*Assumptions!$C$19/1000</f>
        <v>1.3</v>
      </c>
      <c r="J69" s="47">
        <f>'Payroll &amp; related'!P23*Assumptions!$C$19/1000</f>
        <v>1.3</v>
      </c>
      <c r="K69" s="47">
        <f>'Payroll &amp; related'!Q23*Assumptions!$C$19/1000</f>
        <v>1.3</v>
      </c>
      <c r="L69" s="47">
        <f>'Payroll &amp; related'!R23*Assumptions!$C$19/1000</f>
        <v>1.3</v>
      </c>
      <c r="M69" s="47">
        <f>'Payroll &amp; related'!S23*Assumptions!$C$19/1000</f>
        <v>1.3</v>
      </c>
      <c r="N69" s="47">
        <f>'Payroll &amp; related'!T23*Assumptions!$C$19/1000</f>
        <v>1.3</v>
      </c>
      <c r="O69" s="67">
        <f>'Payroll &amp; related'!U23*Assumptions!$C$19/1000</f>
        <v>1.3</v>
      </c>
      <c r="P69" s="192">
        <f t="shared" si="59"/>
        <v>12.600000000000001</v>
      </c>
    </row>
    <row r="70" spans="1:16" ht="13" thickBot="1">
      <c r="B70" s="74" t="s">
        <v>82</v>
      </c>
      <c r="C70" s="63" t="s">
        <v>25</v>
      </c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67"/>
      <c r="P70" s="192">
        <f t="shared" si="59"/>
        <v>0</v>
      </c>
    </row>
    <row r="71" spans="1:16" ht="13.5" thickBot="1">
      <c r="B71" s="48" t="s">
        <v>61</v>
      </c>
      <c r="C71" s="49"/>
      <c r="D71" s="50">
        <f t="shared" ref="D71:I71" si="60">SUM(D67:D70)</f>
        <v>0.5</v>
      </c>
      <c r="E71" s="50">
        <f t="shared" si="60"/>
        <v>1.4</v>
      </c>
      <c r="F71" s="50">
        <f t="shared" si="60"/>
        <v>4.3</v>
      </c>
      <c r="G71" s="50">
        <f t="shared" si="60"/>
        <v>7.3</v>
      </c>
      <c r="H71" s="50">
        <f t="shared" si="60"/>
        <v>4.5999999999999996</v>
      </c>
      <c r="I71" s="50">
        <f t="shared" si="60"/>
        <v>1.8</v>
      </c>
      <c r="J71" s="50">
        <f t="shared" ref="J71:O71" si="61">SUM(J67:J70)</f>
        <v>1.8</v>
      </c>
      <c r="K71" s="50">
        <f t="shared" si="61"/>
        <v>1.8</v>
      </c>
      <c r="L71" s="50">
        <f t="shared" si="61"/>
        <v>1.8</v>
      </c>
      <c r="M71" s="50">
        <f t="shared" si="61"/>
        <v>1.8</v>
      </c>
      <c r="N71" s="50">
        <f t="shared" si="61"/>
        <v>1.8</v>
      </c>
      <c r="O71" s="69">
        <f t="shared" si="61"/>
        <v>1.8</v>
      </c>
      <c r="P71" s="69">
        <f>SUM(D71:O71)</f>
        <v>30.700000000000006</v>
      </c>
    </row>
    <row r="72" spans="1:16" s="45" customFormat="1" ht="13">
      <c r="A72" s="44"/>
      <c r="B72" s="51"/>
    </row>
    <row r="74" spans="1:16">
      <c r="B74" s="40"/>
      <c r="C74" s="40"/>
    </row>
    <row r="75" spans="1:16">
      <c r="B75" s="40"/>
      <c r="C75" s="40"/>
    </row>
    <row r="76" spans="1:16">
      <c r="B76" s="40"/>
      <c r="C76" s="40"/>
    </row>
    <row r="77" spans="1:16">
      <c r="B77" s="40"/>
      <c r="C77" s="40"/>
    </row>
    <row r="78" spans="1:16">
      <c r="B78" s="40"/>
      <c r="C78" s="40"/>
    </row>
    <row r="79" spans="1:16">
      <c r="B79" s="40"/>
      <c r="C79" s="40"/>
    </row>
  </sheetData>
  <mergeCells count="3">
    <mergeCell ref="B1:P1"/>
    <mergeCell ref="B2:P2"/>
    <mergeCell ref="B3:P3"/>
  </mergeCells>
  <phoneticPr fontId="3" type="noConversion"/>
  <pageMargins left="0.75" right="0.75" top="1" bottom="1" header="0.5" footer="0.5"/>
  <pageSetup orientation="portrait" r:id="rId1"/>
  <headerFooter alignWithMargins="0"/>
  <ignoredErrors>
    <ignoredError sqref="E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B74"/>
  <sheetViews>
    <sheetView zoomScaleNormal="100" workbookViewId="0">
      <selection activeCell="I42" sqref="I42"/>
    </sheetView>
  </sheetViews>
  <sheetFormatPr defaultColWidth="9.1796875" defaultRowHeight="12.5" outlineLevelCol="1"/>
  <cols>
    <col min="1" max="1" width="1.7265625" style="25" customWidth="1"/>
    <col min="2" max="2" width="4" style="25" customWidth="1"/>
    <col min="3" max="3" width="30.453125" style="25" bestFit="1" customWidth="1"/>
    <col min="4" max="4" width="15" style="119" bestFit="1" customWidth="1"/>
    <col min="5" max="5" width="11.453125" style="119" customWidth="1"/>
    <col min="6" max="6" width="5.453125" style="120" customWidth="1"/>
    <col min="7" max="7" width="9" style="120" customWidth="1" outlineLevel="1"/>
    <col min="8" max="8" width="10.1796875" style="120" customWidth="1" outlineLevel="1"/>
    <col min="9" max="9" width="10.26953125" style="120" customWidth="1"/>
    <col min="10" max="17" width="8.54296875" style="25" bestFit="1" customWidth="1"/>
    <col min="18" max="21" width="7.453125" style="25" customWidth="1"/>
    <col min="22" max="24" width="9.1796875" style="25"/>
    <col min="25" max="25" width="11.26953125" style="25" bestFit="1" customWidth="1"/>
    <col min="26" max="26" width="10.26953125" style="25" bestFit="1" customWidth="1"/>
    <col min="27" max="29" width="9.26953125" style="25" bestFit="1" customWidth="1"/>
    <col min="30" max="30" width="11.26953125" style="25" bestFit="1" customWidth="1"/>
    <col min="31" max="16384" width="9.1796875" style="25"/>
  </cols>
  <sheetData>
    <row r="1" spans="2:22" s="23" customFormat="1" ht="13">
      <c r="B1" s="309" t="s">
        <v>43</v>
      </c>
      <c r="C1" s="310"/>
      <c r="D1" s="311"/>
      <c r="E1" s="311"/>
      <c r="F1" s="312"/>
      <c r="G1" s="312"/>
      <c r="H1" s="312"/>
      <c r="I1" s="312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4"/>
    </row>
    <row r="2" spans="2:22" s="23" customFormat="1" ht="13.5" thickBot="1">
      <c r="B2" s="315"/>
      <c r="C2" s="316" t="s">
        <v>87</v>
      </c>
      <c r="D2" s="316" t="s">
        <v>83</v>
      </c>
      <c r="E2" s="317" t="s">
        <v>3</v>
      </c>
      <c r="F2" s="318" t="s">
        <v>95</v>
      </c>
      <c r="G2" s="316"/>
      <c r="H2" s="316"/>
      <c r="I2" s="316"/>
      <c r="J2" s="319" t="s">
        <v>14</v>
      </c>
      <c r="K2" s="319" t="s">
        <v>15</v>
      </c>
      <c r="L2" s="319" t="s">
        <v>16</v>
      </c>
      <c r="M2" s="319" t="s">
        <v>17</v>
      </c>
      <c r="N2" s="319" t="s">
        <v>18</v>
      </c>
      <c r="O2" s="319" t="s">
        <v>19</v>
      </c>
      <c r="P2" s="319" t="s">
        <v>72</v>
      </c>
      <c r="Q2" s="319" t="s">
        <v>73</v>
      </c>
      <c r="R2" s="319" t="s">
        <v>74</v>
      </c>
      <c r="S2" s="319" t="s">
        <v>75</v>
      </c>
      <c r="T2" s="319" t="s">
        <v>76</v>
      </c>
      <c r="U2" s="320" t="s">
        <v>77</v>
      </c>
    </row>
    <row r="3" spans="2:22">
      <c r="B3" s="264" t="s">
        <v>94</v>
      </c>
      <c r="C3" s="149" t="s">
        <v>85</v>
      </c>
      <c r="D3" s="112"/>
      <c r="E3" s="149" t="s">
        <v>1</v>
      </c>
      <c r="F3" s="150"/>
      <c r="G3" s="150"/>
      <c r="H3" s="150"/>
      <c r="I3" s="150"/>
      <c r="J3" s="151">
        <v>1</v>
      </c>
      <c r="K3" s="151">
        <v>1</v>
      </c>
      <c r="L3" s="151">
        <v>1</v>
      </c>
      <c r="M3" s="151">
        <v>1</v>
      </c>
      <c r="N3" s="151">
        <v>1</v>
      </c>
      <c r="O3" s="151">
        <v>1</v>
      </c>
      <c r="P3" s="151">
        <v>1</v>
      </c>
      <c r="Q3" s="151">
        <v>1</v>
      </c>
      <c r="R3" s="151">
        <v>1</v>
      </c>
      <c r="S3" s="151">
        <v>1</v>
      </c>
      <c r="T3" s="151">
        <v>1</v>
      </c>
      <c r="U3" s="265">
        <v>1</v>
      </c>
    </row>
    <row r="4" spans="2:22">
      <c r="B4" s="266" t="s">
        <v>94</v>
      </c>
      <c r="C4" s="111" t="s">
        <v>152</v>
      </c>
      <c r="D4" s="112"/>
      <c r="E4" s="112" t="s">
        <v>0</v>
      </c>
      <c r="F4" s="26"/>
      <c r="G4" s="26"/>
      <c r="H4" s="26"/>
      <c r="I4" s="26"/>
      <c r="J4" s="151">
        <v>1</v>
      </c>
      <c r="K4" s="151">
        <v>1</v>
      </c>
      <c r="L4" s="151">
        <v>1</v>
      </c>
      <c r="M4" s="151">
        <v>1</v>
      </c>
      <c r="N4" s="151">
        <v>1</v>
      </c>
      <c r="O4" s="151">
        <v>1</v>
      </c>
      <c r="P4" s="151">
        <v>1</v>
      </c>
      <c r="Q4" s="151">
        <v>1</v>
      </c>
      <c r="R4" s="151">
        <v>1</v>
      </c>
      <c r="S4" s="151">
        <v>1</v>
      </c>
      <c r="T4" s="151">
        <v>1</v>
      </c>
      <c r="U4" s="265">
        <v>1</v>
      </c>
      <c r="V4"/>
    </row>
    <row r="5" spans="2:22">
      <c r="B5" s="266" t="s">
        <v>94</v>
      </c>
      <c r="C5" s="111" t="s">
        <v>93</v>
      </c>
      <c r="D5" s="112"/>
      <c r="E5" s="112" t="s">
        <v>0</v>
      </c>
      <c r="F5" s="26"/>
      <c r="G5" s="26"/>
      <c r="H5" s="26"/>
      <c r="I5" s="26"/>
      <c r="J5" s="29">
        <v>1</v>
      </c>
      <c r="K5" s="29">
        <v>1</v>
      </c>
      <c r="L5" s="29">
        <v>1</v>
      </c>
      <c r="M5" s="29">
        <v>1</v>
      </c>
      <c r="N5" s="29">
        <v>1</v>
      </c>
      <c r="O5" s="29">
        <v>1</v>
      </c>
      <c r="P5" s="29">
        <v>1</v>
      </c>
      <c r="Q5" s="29">
        <v>1</v>
      </c>
      <c r="R5" s="29">
        <v>1</v>
      </c>
      <c r="S5" s="29">
        <v>1</v>
      </c>
      <c r="T5" s="29">
        <v>1</v>
      </c>
      <c r="U5" s="267">
        <v>1</v>
      </c>
      <c r="V5"/>
    </row>
    <row r="6" spans="2:22">
      <c r="B6" s="266" t="s">
        <v>94</v>
      </c>
      <c r="C6" s="111" t="s">
        <v>93</v>
      </c>
      <c r="D6" s="112"/>
      <c r="E6" s="112" t="s">
        <v>0</v>
      </c>
      <c r="F6" s="26"/>
      <c r="G6" s="26"/>
      <c r="H6" s="26"/>
      <c r="I6" s="26"/>
      <c r="J6" s="29">
        <v>1</v>
      </c>
      <c r="K6" s="29">
        <v>1</v>
      </c>
      <c r="L6" s="29">
        <v>1</v>
      </c>
      <c r="M6" s="29">
        <v>1</v>
      </c>
      <c r="N6" s="29">
        <v>1</v>
      </c>
      <c r="O6" s="29">
        <v>1</v>
      </c>
      <c r="P6" s="29">
        <v>1</v>
      </c>
      <c r="Q6" s="29">
        <v>1</v>
      </c>
      <c r="R6" s="29">
        <v>1</v>
      </c>
      <c r="S6" s="29">
        <v>1</v>
      </c>
      <c r="T6" s="29">
        <v>1</v>
      </c>
      <c r="U6" s="267">
        <v>1</v>
      </c>
      <c r="V6"/>
    </row>
    <row r="7" spans="2:22">
      <c r="B7" s="266" t="s">
        <v>94</v>
      </c>
      <c r="C7" s="111" t="s">
        <v>93</v>
      </c>
      <c r="D7" s="112"/>
      <c r="E7" s="112" t="s">
        <v>0</v>
      </c>
      <c r="F7" s="26"/>
      <c r="G7" s="26"/>
      <c r="H7" s="26"/>
      <c r="I7" s="26"/>
      <c r="J7" s="29"/>
      <c r="K7" s="29"/>
      <c r="L7" s="29"/>
      <c r="M7" s="29">
        <v>1</v>
      </c>
      <c r="N7" s="29">
        <v>1</v>
      </c>
      <c r="O7" s="29">
        <v>1</v>
      </c>
      <c r="P7" s="29">
        <v>1</v>
      </c>
      <c r="Q7" s="29">
        <v>1</v>
      </c>
      <c r="R7" s="29">
        <v>1</v>
      </c>
      <c r="S7" s="29">
        <v>1</v>
      </c>
      <c r="T7" s="29">
        <v>1</v>
      </c>
      <c r="U7" s="267">
        <v>1</v>
      </c>
      <c r="V7" s="174"/>
    </row>
    <row r="8" spans="2:22">
      <c r="B8" s="266" t="s">
        <v>94</v>
      </c>
      <c r="C8" s="111" t="s">
        <v>96</v>
      </c>
      <c r="D8" s="112"/>
      <c r="E8" s="112" t="s">
        <v>0</v>
      </c>
      <c r="F8" s="26"/>
      <c r="G8" s="26"/>
      <c r="H8" s="26"/>
      <c r="I8" s="26"/>
      <c r="J8" s="29">
        <v>1</v>
      </c>
      <c r="K8" s="29">
        <v>1</v>
      </c>
      <c r="L8" s="29">
        <v>1</v>
      </c>
      <c r="M8" s="29">
        <v>1</v>
      </c>
      <c r="N8" s="29">
        <v>1</v>
      </c>
      <c r="O8" s="29">
        <v>1</v>
      </c>
      <c r="P8" s="29">
        <v>1</v>
      </c>
      <c r="Q8" s="29">
        <v>1</v>
      </c>
      <c r="R8" s="29">
        <v>1</v>
      </c>
      <c r="S8" s="29">
        <v>1</v>
      </c>
      <c r="T8" s="29">
        <v>1</v>
      </c>
      <c r="U8" s="267">
        <v>1</v>
      </c>
    </row>
    <row r="9" spans="2:22">
      <c r="B9" s="266" t="s">
        <v>94</v>
      </c>
      <c r="C9" s="111" t="s">
        <v>148</v>
      </c>
      <c r="D9" s="112"/>
      <c r="E9" s="112" t="s">
        <v>34</v>
      </c>
      <c r="F9" s="26"/>
      <c r="G9" s="26"/>
      <c r="H9" s="26"/>
      <c r="I9" s="26"/>
      <c r="J9" s="29">
        <v>1</v>
      </c>
      <c r="K9" s="29">
        <v>1</v>
      </c>
      <c r="L9" s="29">
        <v>1</v>
      </c>
      <c r="M9" s="29">
        <v>1</v>
      </c>
      <c r="N9" s="29">
        <v>1</v>
      </c>
      <c r="O9" s="29">
        <v>1</v>
      </c>
      <c r="P9" s="29">
        <v>1</v>
      </c>
      <c r="Q9" s="29">
        <v>1</v>
      </c>
      <c r="R9" s="29">
        <v>1</v>
      </c>
      <c r="S9" s="29">
        <v>1</v>
      </c>
      <c r="T9" s="29">
        <v>1</v>
      </c>
      <c r="U9" s="267">
        <v>1</v>
      </c>
    </row>
    <row r="10" spans="2:22">
      <c r="B10" s="266" t="s">
        <v>94</v>
      </c>
      <c r="C10" s="111" t="s">
        <v>148</v>
      </c>
      <c r="D10" s="112"/>
      <c r="E10" s="112" t="s">
        <v>34</v>
      </c>
      <c r="F10" s="26"/>
      <c r="G10" s="26"/>
      <c r="H10" s="26"/>
      <c r="I10" s="26"/>
      <c r="J10" s="29">
        <v>1</v>
      </c>
      <c r="K10" s="29">
        <v>1</v>
      </c>
      <c r="L10" s="29">
        <v>1</v>
      </c>
      <c r="M10" s="29">
        <v>1</v>
      </c>
      <c r="N10" s="29">
        <v>1</v>
      </c>
      <c r="O10" s="29">
        <v>1</v>
      </c>
      <c r="P10" s="29">
        <v>1</v>
      </c>
      <c r="Q10" s="29">
        <v>1</v>
      </c>
      <c r="R10" s="29">
        <v>1</v>
      </c>
      <c r="S10" s="29">
        <v>1</v>
      </c>
      <c r="T10" s="29">
        <v>1</v>
      </c>
      <c r="U10" s="267">
        <v>1</v>
      </c>
    </row>
    <row r="11" spans="2:22">
      <c r="B11" s="266" t="s">
        <v>94</v>
      </c>
      <c r="C11" s="111" t="s">
        <v>135</v>
      </c>
      <c r="D11" s="112"/>
      <c r="E11" s="112" t="s">
        <v>34</v>
      </c>
      <c r="F11" s="26"/>
      <c r="G11" s="26"/>
      <c r="H11" s="26"/>
      <c r="I11" s="26"/>
      <c r="J11" s="29">
        <v>1</v>
      </c>
      <c r="K11" s="29">
        <v>1</v>
      </c>
      <c r="L11" s="29">
        <v>1</v>
      </c>
      <c r="M11" s="29">
        <v>1</v>
      </c>
      <c r="N11" s="29">
        <v>1</v>
      </c>
      <c r="O11" s="29">
        <v>1</v>
      </c>
      <c r="P11" s="29">
        <v>1</v>
      </c>
      <c r="Q11" s="29">
        <v>1</v>
      </c>
      <c r="R11" s="29">
        <v>1</v>
      </c>
      <c r="S11" s="29">
        <v>1</v>
      </c>
      <c r="T11" s="29">
        <v>1</v>
      </c>
      <c r="U11" s="267">
        <v>1</v>
      </c>
    </row>
    <row r="12" spans="2:22">
      <c r="B12" s="266" t="s">
        <v>95</v>
      </c>
      <c r="C12" s="111" t="s">
        <v>153</v>
      </c>
      <c r="D12" s="112"/>
      <c r="E12" s="112" t="s">
        <v>39</v>
      </c>
      <c r="F12" s="26">
        <v>1</v>
      </c>
      <c r="G12" s="26"/>
      <c r="H12" s="26"/>
      <c r="I12" s="26"/>
      <c r="J12" s="29">
        <v>1</v>
      </c>
      <c r="K12" s="29">
        <v>1</v>
      </c>
      <c r="L12" s="29">
        <v>1</v>
      </c>
      <c r="M12" s="29">
        <v>1</v>
      </c>
      <c r="N12" s="29">
        <v>1</v>
      </c>
      <c r="O12" s="29">
        <v>1</v>
      </c>
      <c r="P12" s="29">
        <v>1</v>
      </c>
      <c r="Q12" s="29">
        <v>1</v>
      </c>
      <c r="R12" s="29">
        <v>1</v>
      </c>
      <c r="S12" s="29">
        <v>1</v>
      </c>
      <c r="T12" s="29">
        <v>1</v>
      </c>
      <c r="U12" s="267">
        <v>1</v>
      </c>
    </row>
    <row r="13" spans="2:22">
      <c r="B13" s="266" t="s">
        <v>95</v>
      </c>
      <c r="C13" s="111" t="s">
        <v>129</v>
      </c>
      <c r="D13" s="112"/>
      <c r="E13" s="112" t="s">
        <v>39</v>
      </c>
      <c r="F13" s="26">
        <v>1</v>
      </c>
      <c r="G13" s="26"/>
      <c r="H13" s="26"/>
      <c r="I13" s="26"/>
      <c r="J13" s="29"/>
      <c r="K13" s="29"/>
      <c r="L13" s="29">
        <v>1</v>
      </c>
      <c r="M13" s="29">
        <v>1</v>
      </c>
      <c r="N13" s="29">
        <v>1</v>
      </c>
      <c r="O13" s="29">
        <v>1</v>
      </c>
      <c r="P13" s="29">
        <v>1</v>
      </c>
      <c r="Q13" s="29">
        <v>1</v>
      </c>
      <c r="R13" s="29">
        <v>1</v>
      </c>
      <c r="S13" s="29">
        <v>1</v>
      </c>
      <c r="T13" s="29">
        <v>1</v>
      </c>
      <c r="U13" s="267">
        <v>1</v>
      </c>
    </row>
    <row r="14" spans="2:22">
      <c r="B14" s="266" t="s">
        <v>95</v>
      </c>
      <c r="C14" s="111" t="s">
        <v>108</v>
      </c>
      <c r="D14" s="112"/>
      <c r="E14" s="112" t="s">
        <v>39</v>
      </c>
      <c r="F14" s="26">
        <v>1</v>
      </c>
      <c r="G14" s="26"/>
      <c r="H14" s="26"/>
      <c r="I14" s="26"/>
      <c r="J14" s="29"/>
      <c r="K14" s="29"/>
      <c r="L14" s="29"/>
      <c r="M14" s="29">
        <v>1</v>
      </c>
      <c r="N14" s="29">
        <v>1</v>
      </c>
      <c r="O14" s="29">
        <v>1</v>
      </c>
      <c r="P14" s="29">
        <v>1</v>
      </c>
      <c r="Q14" s="29">
        <v>1</v>
      </c>
      <c r="R14" s="29">
        <v>1</v>
      </c>
      <c r="S14" s="29">
        <v>1</v>
      </c>
      <c r="T14" s="29">
        <v>1</v>
      </c>
      <c r="U14" s="267">
        <v>1</v>
      </c>
    </row>
    <row r="15" spans="2:22">
      <c r="B15" s="266" t="s">
        <v>95</v>
      </c>
      <c r="C15" s="111" t="s">
        <v>136</v>
      </c>
      <c r="D15" s="112"/>
      <c r="E15" s="112" t="s">
        <v>39</v>
      </c>
      <c r="F15" s="26">
        <v>1</v>
      </c>
      <c r="G15" s="26"/>
      <c r="H15" s="26"/>
      <c r="I15" s="26"/>
      <c r="J15" s="29"/>
      <c r="K15" s="29"/>
      <c r="L15" s="29"/>
      <c r="M15" s="29"/>
      <c r="N15" s="29">
        <v>1</v>
      </c>
      <c r="O15" s="29">
        <v>1</v>
      </c>
      <c r="P15" s="29">
        <v>1</v>
      </c>
      <c r="Q15" s="29">
        <v>1</v>
      </c>
      <c r="R15" s="29">
        <v>1</v>
      </c>
      <c r="S15" s="29">
        <v>1</v>
      </c>
      <c r="T15" s="29">
        <v>1</v>
      </c>
      <c r="U15" s="267">
        <v>1</v>
      </c>
    </row>
    <row r="16" spans="2:22">
      <c r="B16" s="266"/>
      <c r="C16" s="111"/>
      <c r="D16" s="112"/>
      <c r="E16" s="112"/>
      <c r="F16" s="26"/>
      <c r="G16" s="26"/>
      <c r="H16" s="26"/>
      <c r="I16" s="26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67"/>
    </row>
    <row r="17" spans="2:22">
      <c r="B17" s="266"/>
      <c r="C17" s="111"/>
      <c r="D17" s="112"/>
      <c r="E17" s="112"/>
      <c r="F17" s="26"/>
      <c r="G17" s="26"/>
      <c r="H17" s="26"/>
      <c r="I17" s="26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67"/>
    </row>
    <row r="18" spans="2:22">
      <c r="B18" s="266"/>
      <c r="C18" s="111"/>
      <c r="D18" s="112"/>
      <c r="E18" s="112"/>
      <c r="F18" s="26"/>
      <c r="G18" s="26"/>
      <c r="H18" s="26"/>
      <c r="I18" s="26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67"/>
    </row>
    <row r="19" spans="2:22">
      <c r="B19" s="266"/>
      <c r="C19" s="111"/>
      <c r="D19" s="112"/>
      <c r="E19" s="112"/>
      <c r="F19" s="26"/>
      <c r="G19" s="26"/>
      <c r="H19" s="26"/>
      <c r="I19" s="26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67"/>
    </row>
    <row r="20" spans="2:22" ht="13" thickBot="1">
      <c r="B20" s="268"/>
      <c r="C20" s="113"/>
      <c r="D20" s="114"/>
      <c r="E20" s="115"/>
      <c r="F20" s="116"/>
      <c r="G20" s="27"/>
      <c r="H20" s="27"/>
      <c r="I20" s="28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269"/>
    </row>
    <row r="21" spans="2:22" s="23" customFormat="1" ht="13">
      <c r="B21" s="31"/>
      <c r="C21" s="1" t="s">
        <v>58</v>
      </c>
      <c r="D21" s="1"/>
      <c r="E21" s="1"/>
      <c r="F21" s="2"/>
      <c r="G21" s="3"/>
      <c r="H21" s="3"/>
      <c r="I21" s="140"/>
      <c r="J21" s="141">
        <f t="shared" ref="J21:O21" si="0">J23-J22</f>
        <v>8</v>
      </c>
      <c r="K21" s="141">
        <f t="shared" si="0"/>
        <v>8</v>
      </c>
      <c r="L21" s="141">
        <f t="shared" si="0"/>
        <v>8</v>
      </c>
      <c r="M21" s="141">
        <f t="shared" si="0"/>
        <v>9</v>
      </c>
      <c r="N21" s="141">
        <f t="shared" si="0"/>
        <v>9</v>
      </c>
      <c r="O21" s="141">
        <f t="shared" si="0"/>
        <v>9</v>
      </c>
      <c r="P21" s="141">
        <f t="shared" ref="P21:U21" si="1">P23-P22</f>
        <v>9</v>
      </c>
      <c r="Q21" s="141">
        <f t="shared" si="1"/>
        <v>9</v>
      </c>
      <c r="R21" s="141">
        <f t="shared" si="1"/>
        <v>9</v>
      </c>
      <c r="S21" s="141">
        <f t="shared" si="1"/>
        <v>9</v>
      </c>
      <c r="T21" s="141">
        <f t="shared" si="1"/>
        <v>9</v>
      </c>
      <c r="U21" s="152">
        <f t="shared" si="1"/>
        <v>9</v>
      </c>
    </row>
    <row r="22" spans="2:22" s="23" customFormat="1" ht="13.5" thickBot="1">
      <c r="B22" s="32"/>
      <c r="C22" s="4" t="s">
        <v>59</v>
      </c>
      <c r="D22" s="4"/>
      <c r="E22" s="4"/>
      <c r="F22" s="5"/>
      <c r="G22" s="6"/>
      <c r="H22" s="6"/>
      <c r="I22" s="142"/>
      <c r="J22" s="143">
        <f t="shared" ref="J22:U22" si="2">SUMIF($F$3:$F$20,"=1",J3:J20)</f>
        <v>1</v>
      </c>
      <c r="K22" s="143">
        <f t="shared" si="2"/>
        <v>1</v>
      </c>
      <c r="L22" s="143">
        <f t="shared" si="2"/>
        <v>2</v>
      </c>
      <c r="M22" s="143">
        <f t="shared" si="2"/>
        <v>3</v>
      </c>
      <c r="N22" s="143">
        <f t="shared" si="2"/>
        <v>4</v>
      </c>
      <c r="O22" s="143">
        <f t="shared" si="2"/>
        <v>4</v>
      </c>
      <c r="P22" s="143">
        <f t="shared" si="2"/>
        <v>4</v>
      </c>
      <c r="Q22" s="143">
        <f t="shared" si="2"/>
        <v>4</v>
      </c>
      <c r="R22" s="143">
        <f t="shared" si="2"/>
        <v>4</v>
      </c>
      <c r="S22" s="143">
        <f t="shared" si="2"/>
        <v>4</v>
      </c>
      <c r="T22" s="143">
        <f t="shared" si="2"/>
        <v>4</v>
      </c>
      <c r="U22" s="154">
        <f t="shared" si="2"/>
        <v>4</v>
      </c>
    </row>
    <row r="23" spans="2:22" ht="13.5" thickBot="1">
      <c r="B23" s="321" t="s">
        <v>119</v>
      </c>
      <c r="C23" s="322"/>
      <c r="D23" s="322"/>
      <c r="E23" s="323"/>
      <c r="F23" s="324"/>
      <c r="G23" s="324"/>
      <c r="H23" s="324"/>
      <c r="I23" s="325"/>
      <c r="J23" s="326">
        <f t="shared" ref="J23:U23" si="3">SUM(J3:J20)</f>
        <v>9</v>
      </c>
      <c r="K23" s="326">
        <f t="shared" si="3"/>
        <v>9</v>
      </c>
      <c r="L23" s="326">
        <f t="shared" si="3"/>
        <v>10</v>
      </c>
      <c r="M23" s="326">
        <f t="shared" si="3"/>
        <v>12</v>
      </c>
      <c r="N23" s="326">
        <f t="shared" si="3"/>
        <v>13</v>
      </c>
      <c r="O23" s="326">
        <f t="shared" si="3"/>
        <v>13</v>
      </c>
      <c r="P23" s="326">
        <f t="shared" si="3"/>
        <v>13</v>
      </c>
      <c r="Q23" s="326">
        <f t="shared" si="3"/>
        <v>13</v>
      </c>
      <c r="R23" s="326">
        <f t="shared" si="3"/>
        <v>13</v>
      </c>
      <c r="S23" s="326">
        <f t="shared" si="3"/>
        <v>13</v>
      </c>
      <c r="T23" s="326">
        <f t="shared" si="3"/>
        <v>13</v>
      </c>
      <c r="U23" s="327">
        <f t="shared" si="3"/>
        <v>13</v>
      </c>
    </row>
    <row r="24" spans="2:22" ht="13">
      <c r="B24" s="31" t="s">
        <v>162</v>
      </c>
      <c r="C24" s="34"/>
      <c r="D24" s="1"/>
      <c r="E24" s="1"/>
      <c r="F24" s="2"/>
      <c r="G24" s="3"/>
      <c r="H24" s="3"/>
      <c r="I24" s="140"/>
      <c r="J24" s="141">
        <f t="shared" ref="J24:U24" si="4">SUMIF($E$3:$E$19,"COGS",J3:J19)</f>
        <v>3</v>
      </c>
      <c r="K24" s="141">
        <f t="shared" si="4"/>
        <v>3</v>
      </c>
      <c r="L24" s="141">
        <f t="shared" si="4"/>
        <v>3</v>
      </c>
      <c r="M24" s="141">
        <f t="shared" si="4"/>
        <v>3</v>
      </c>
      <c r="N24" s="141">
        <f t="shared" si="4"/>
        <v>3</v>
      </c>
      <c r="O24" s="141">
        <f t="shared" si="4"/>
        <v>3</v>
      </c>
      <c r="P24" s="141">
        <f t="shared" si="4"/>
        <v>3</v>
      </c>
      <c r="Q24" s="141">
        <f t="shared" si="4"/>
        <v>3</v>
      </c>
      <c r="R24" s="141">
        <f t="shared" si="4"/>
        <v>3</v>
      </c>
      <c r="S24" s="141">
        <f t="shared" si="4"/>
        <v>3</v>
      </c>
      <c r="T24" s="141">
        <f t="shared" si="4"/>
        <v>3</v>
      </c>
      <c r="U24" s="152">
        <f t="shared" si="4"/>
        <v>3</v>
      </c>
    </row>
    <row r="25" spans="2:22" ht="13">
      <c r="B25" s="35" t="s">
        <v>116</v>
      </c>
      <c r="C25" s="24"/>
      <c r="D25" s="36"/>
      <c r="E25" s="206"/>
      <c r="F25" s="37"/>
      <c r="G25" s="38"/>
      <c r="H25" s="38"/>
      <c r="I25" s="146"/>
      <c r="J25" s="147">
        <f t="shared" ref="J25:U25" si="5">SUMIF($E$3:$E$19,"R&amp;D",J3:J19)</f>
        <v>4</v>
      </c>
      <c r="K25" s="147">
        <f t="shared" si="5"/>
        <v>4</v>
      </c>
      <c r="L25" s="147">
        <f t="shared" si="5"/>
        <v>4</v>
      </c>
      <c r="M25" s="147">
        <f t="shared" si="5"/>
        <v>5</v>
      </c>
      <c r="N25" s="147">
        <f t="shared" si="5"/>
        <v>5</v>
      </c>
      <c r="O25" s="147">
        <f t="shared" si="5"/>
        <v>5</v>
      </c>
      <c r="P25" s="147">
        <f t="shared" si="5"/>
        <v>5</v>
      </c>
      <c r="Q25" s="147">
        <f t="shared" si="5"/>
        <v>5</v>
      </c>
      <c r="R25" s="147">
        <f t="shared" si="5"/>
        <v>5</v>
      </c>
      <c r="S25" s="147">
        <f t="shared" si="5"/>
        <v>5</v>
      </c>
      <c r="T25" s="147">
        <f t="shared" si="5"/>
        <v>5</v>
      </c>
      <c r="U25" s="153">
        <f t="shared" si="5"/>
        <v>5</v>
      </c>
    </row>
    <row r="26" spans="2:22" ht="13">
      <c r="B26" s="35" t="s">
        <v>115</v>
      </c>
      <c r="C26" s="24"/>
      <c r="D26" s="36"/>
      <c r="E26" s="36"/>
      <c r="F26" s="37"/>
      <c r="G26" s="38"/>
      <c r="H26" s="38"/>
      <c r="I26" s="146"/>
      <c r="J26" s="147">
        <f t="shared" ref="J26:U26" si="6">SUMIF($E$3:$E$19,"S&amp;M",J3:J19)</f>
        <v>1</v>
      </c>
      <c r="K26" s="147">
        <f t="shared" si="6"/>
        <v>1</v>
      </c>
      <c r="L26" s="147">
        <f t="shared" si="6"/>
        <v>2</v>
      </c>
      <c r="M26" s="147">
        <f t="shared" si="6"/>
        <v>3</v>
      </c>
      <c r="N26" s="147">
        <f t="shared" si="6"/>
        <v>4</v>
      </c>
      <c r="O26" s="147">
        <f t="shared" si="6"/>
        <v>4</v>
      </c>
      <c r="P26" s="147">
        <f t="shared" si="6"/>
        <v>4</v>
      </c>
      <c r="Q26" s="147">
        <f t="shared" si="6"/>
        <v>4</v>
      </c>
      <c r="R26" s="147">
        <f t="shared" si="6"/>
        <v>4</v>
      </c>
      <c r="S26" s="147">
        <f t="shared" si="6"/>
        <v>4</v>
      </c>
      <c r="T26" s="147">
        <f t="shared" si="6"/>
        <v>4</v>
      </c>
      <c r="U26" s="153">
        <f t="shared" si="6"/>
        <v>4</v>
      </c>
    </row>
    <row r="27" spans="2:22" ht="13.5" thickBot="1">
      <c r="B27" s="35" t="s">
        <v>117</v>
      </c>
      <c r="C27" s="24"/>
      <c r="D27" s="36"/>
      <c r="E27" s="36"/>
      <c r="F27" s="37"/>
      <c r="G27" s="38"/>
      <c r="H27" s="38"/>
      <c r="I27" s="146"/>
      <c r="J27" s="147">
        <f t="shared" ref="J27:U27" si="7">SUMIF($E$3:$E$19,"G&amp;A",J3:J19)</f>
        <v>1</v>
      </c>
      <c r="K27" s="147">
        <f t="shared" si="7"/>
        <v>1</v>
      </c>
      <c r="L27" s="147">
        <f t="shared" si="7"/>
        <v>1</v>
      </c>
      <c r="M27" s="147">
        <f t="shared" si="7"/>
        <v>1</v>
      </c>
      <c r="N27" s="147">
        <f t="shared" si="7"/>
        <v>1</v>
      </c>
      <c r="O27" s="147">
        <f t="shared" si="7"/>
        <v>1</v>
      </c>
      <c r="P27" s="147">
        <f t="shared" si="7"/>
        <v>1</v>
      </c>
      <c r="Q27" s="147">
        <f t="shared" si="7"/>
        <v>1</v>
      </c>
      <c r="R27" s="147">
        <f t="shared" si="7"/>
        <v>1</v>
      </c>
      <c r="S27" s="147">
        <f t="shared" si="7"/>
        <v>1</v>
      </c>
      <c r="T27" s="147">
        <f t="shared" si="7"/>
        <v>1</v>
      </c>
      <c r="U27" s="153">
        <f t="shared" si="7"/>
        <v>1</v>
      </c>
    </row>
    <row r="28" spans="2:22" ht="13.5" thickBot="1">
      <c r="B28" s="321" t="s">
        <v>118</v>
      </c>
      <c r="C28" s="322"/>
      <c r="D28" s="322"/>
      <c r="E28" s="323"/>
      <c r="F28" s="324"/>
      <c r="G28" s="324"/>
      <c r="H28" s="324"/>
      <c r="I28" s="324"/>
      <c r="J28" s="326">
        <f t="shared" ref="J28:U28" si="8">SUM(J24:J27)</f>
        <v>9</v>
      </c>
      <c r="K28" s="326">
        <f t="shared" si="8"/>
        <v>9</v>
      </c>
      <c r="L28" s="326">
        <f t="shared" si="8"/>
        <v>10</v>
      </c>
      <c r="M28" s="326">
        <f t="shared" si="8"/>
        <v>12</v>
      </c>
      <c r="N28" s="326">
        <f t="shared" si="8"/>
        <v>13</v>
      </c>
      <c r="O28" s="326">
        <f t="shared" si="8"/>
        <v>13</v>
      </c>
      <c r="P28" s="326">
        <f t="shared" si="8"/>
        <v>13</v>
      </c>
      <c r="Q28" s="326">
        <f t="shared" si="8"/>
        <v>13</v>
      </c>
      <c r="R28" s="326">
        <f t="shared" si="8"/>
        <v>13</v>
      </c>
      <c r="S28" s="326">
        <f t="shared" si="8"/>
        <v>13</v>
      </c>
      <c r="T28" s="326">
        <f t="shared" si="8"/>
        <v>13</v>
      </c>
      <c r="U28" s="327">
        <f t="shared" si="8"/>
        <v>13</v>
      </c>
    </row>
    <row r="29" spans="2:22">
      <c r="I29" s="121"/>
    </row>
    <row r="30" spans="2:22" ht="13" thickBot="1">
      <c r="I30" s="121"/>
    </row>
    <row r="31" spans="2:22" ht="26">
      <c r="B31" s="341"/>
      <c r="C31" s="328"/>
      <c r="D31" s="329"/>
      <c r="E31" s="329"/>
      <c r="F31" s="330" t="s">
        <v>95</v>
      </c>
      <c r="G31" s="331" t="s">
        <v>97</v>
      </c>
      <c r="H31" s="331" t="s">
        <v>38</v>
      </c>
      <c r="I31" s="331" t="s">
        <v>57</v>
      </c>
      <c r="J31" s="332" t="s">
        <v>14</v>
      </c>
      <c r="K31" s="332" t="s">
        <v>15</v>
      </c>
      <c r="L31" s="332" t="s">
        <v>16</v>
      </c>
      <c r="M31" s="332" t="s">
        <v>17</v>
      </c>
      <c r="N31" s="332" t="s">
        <v>18</v>
      </c>
      <c r="O31" s="332" t="s">
        <v>19</v>
      </c>
      <c r="P31" s="332" t="s">
        <v>72</v>
      </c>
      <c r="Q31" s="332" t="s">
        <v>73</v>
      </c>
      <c r="R31" s="332" t="s">
        <v>74</v>
      </c>
      <c r="S31" s="332" t="s">
        <v>75</v>
      </c>
      <c r="T31" s="332" t="s">
        <v>76</v>
      </c>
      <c r="U31" s="333" t="s">
        <v>77</v>
      </c>
      <c r="V31" s="334" t="s">
        <v>80</v>
      </c>
    </row>
    <row r="32" spans="2:22">
      <c r="B32" s="112" t="str">
        <f t="shared" ref="B32:E44" si="9">B3</f>
        <v>IL</v>
      </c>
      <c r="C32" s="112" t="str">
        <f t="shared" si="9"/>
        <v>CEO</v>
      </c>
      <c r="D32" s="112">
        <f t="shared" si="9"/>
        <v>0</v>
      </c>
      <c r="E32" s="112" t="str">
        <f t="shared" si="9"/>
        <v>G&amp;A</v>
      </c>
      <c r="F32" s="26" t="str">
        <f>IF(F3="","",F3)</f>
        <v/>
      </c>
      <c r="G32" s="167">
        <v>30000</v>
      </c>
      <c r="H32" s="167"/>
      <c r="I32" s="7">
        <f>IF(F32="",(G32*Assumptions!$C$11+H32*Assumptions!$C$13)/USD,((G32+H32)*Assumptions!$D$11+Assumptions!$D$12))</f>
        <v>11128.285714285714</v>
      </c>
      <c r="J32" s="145">
        <f t="shared" ref="J32:U32" si="10">J3*$I32/1000</f>
        <v>11.128285714285713</v>
      </c>
      <c r="K32" s="145">
        <f t="shared" si="10"/>
        <v>11.128285714285713</v>
      </c>
      <c r="L32" s="145">
        <f t="shared" si="10"/>
        <v>11.128285714285713</v>
      </c>
      <c r="M32" s="145">
        <f t="shared" si="10"/>
        <v>11.128285714285713</v>
      </c>
      <c r="N32" s="145">
        <f t="shared" si="10"/>
        <v>11.128285714285713</v>
      </c>
      <c r="O32" s="145">
        <f t="shared" si="10"/>
        <v>11.128285714285713</v>
      </c>
      <c r="P32" s="145">
        <f t="shared" si="10"/>
        <v>11.128285714285713</v>
      </c>
      <c r="Q32" s="145">
        <f t="shared" si="10"/>
        <v>11.128285714285713</v>
      </c>
      <c r="R32" s="145">
        <f t="shared" si="10"/>
        <v>11.128285714285713</v>
      </c>
      <c r="S32" s="145">
        <f t="shared" si="10"/>
        <v>11.128285714285713</v>
      </c>
      <c r="T32" s="145">
        <f t="shared" si="10"/>
        <v>11.128285714285713</v>
      </c>
      <c r="U32" s="245">
        <f t="shared" si="10"/>
        <v>11.128285714285713</v>
      </c>
      <c r="V32" s="253">
        <f>SUM(J32:U32)</f>
        <v>133.53942857142854</v>
      </c>
    </row>
    <row r="33" spans="2:24">
      <c r="B33" s="112" t="str">
        <f t="shared" si="9"/>
        <v>IL</v>
      </c>
      <c r="C33" s="112" t="str">
        <f t="shared" si="9"/>
        <v>CTO/VP R&amp;D</v>
      </c>
      <c r="D33" s="112">
        <f t="shared" si="9"/>
        <v>0</v>
      </c>
      <c r="E33" s="112" t="str">
        <f t="shared" si="9"/>
        <v>R&amp;D</v>
      </c>
      <c r="F33" s="26"/>
      <c r="G33" s="167">
        <v>30000</v>
      </c>
      <c r="H33" s="7"/>
      <c r="I33" s="7">
        <f>IF(F33="",(G33*Assumptions!$C$11+H33*Assumptions!$C$13)/USD,((G33+H33)*Assumptions!$D$11+Assumptions!$D$12))</f>
        <v>11128.285714285714</v>
      </c>
      <c r="J33" s="145">
        <f t="shared" ref="J33:U33" si="11">J4*$I33/1000</f>
        <v>11.128285714285713</v>
      </c>
      <c r="K33" s="145">
        <f t="shared" si="11"/>
        <v>11.128285714285713</v>
      </c>
      <c r="L33" s="145">
        <f t="shared" si="11"/>
        <v>11.128285714285713</v>
      </c>
      <c r="M33" s="145">
        <f t="shared" si="11"/>
        <v>11.128285714285713</v>
      </c>
      <c r="N33" s="145">
        <f t="shared" si="11"/>
        <v>11.128285714285713</v>
      </c>
      <c r="O33" s="145">
        <f t="shared" si="11"/>
        <v>11.128285714285713</v>
      </c>
      <c r="P33" s="145">
        <f t="shared" si="11"/>
        <v>11.128285714285713</v>
      </c>
      <c r="Q33" s="145">
        <f t="shared" si="11"/>
        <v>11.128285714285713</v>
      </c>
      <c r="R33" s="145">
        <f t="shared" si="11"/>
        <v>11.128285714285713</v>
      </c>
      <c r="S33" s="145">
        <f t="shared" si="11"/>
        <v>11.128285714285713</v>
      </c>
      <c r="T33" s="145">
        <f t="shared" si="11"/>
        <v>11.128285714285713</v>
      </c>
      <c r="U33" s="245">
        <f t="shared" si="11"/>
        <v>11.128285714285713</v>
      </c>
      <c r="V33" s="253">
        <f t="shared" ref="V33:V44" si="12">SUM(J33:U33)</f>
        <v>133.53942857142854</v>
      </c>
    </row>
    <row r="34" spans="2:24">
      <c r="B34" s="112" t="str">
        <f t="shared" si="9"/>
        <v>IL</v>
      </c>
      <c r="C34" s="112" t="str">
        <f t="shared" si="9"/>
        <v>Engineer</v>
      </c>
      <c r="D34" s="112">
        <f t="shared" si="9"/>
        <v>0</v>
      </c>
      <c r="E34" s="112" t="str">
        <f t="shared" si="9"/>
        <v>R&amp;D</v>
      </c>
      <c r="F34" s="26" t="str">
        <f>IF(F5="","",F5)</f>
        <v/>
      </c>
      <c r="G34" s="167">
        <v>20000</v>
      </c>
      <c r="H34" s="7"/>
      <c r="I34" s="7">
        <f>IF(F34="",(G34*Assumptions!$C$11+H34*Assumptions!$C$13)/USD,((G34+H34)*Assumptions!$D$11+Assumptions!$D$12))</f>
        <v>7418.8571428571431</v>
      </c>
      <c r="J34" s="145">
        <f t="shared" ref="J34:U34" si="13">J5*$I34/1000</f>
        <v>7.418857142857143</v>
      </c>
      <c r="K34" s="145">
        <f t="shared" si="13"/>
        <v>7.418857142857143</v>
      </c>
      <c r="L34" s="145">
        <f t="shared" si="13"/>
        <v>7.418857142857143</v>
      </c>
      <c r="M34" s="145">
        <f t="shared" si="13"/>
        <v>7.418857142857143</v>
      </c>
      <c r="N34" s="145">
        <f t="shared" si="13"/>
        <v>7.418857142857143</v>
      </c>
      <c r="O34" s="145">
        <f t="shared" si="13"/>
        <v>7.418857142857143</v>
      </c>
      <c r="P34" s="145">
        <f t="shared" si="13"/>
        <v>7.418857142857143</v>
      </c>
      <c r="Q34" s="145">
        <f t="shared" si="13"/>
        <v>7.418857142857143</v>
      </c>
      <c r="R34" s="145">
        <f t="shared" si="13"/>
        <v>7.418857142857143</v>
      </c>
      <c r="S34" s="145">
        <f t="shared" si="13"/>
        <v>7.418857142857143</v>
      </c>
      <c r="T34" s="145">
        <f t="shared" si="13"/>
        <v>7.418857142857143</v>
      </c>
      <c r="U34" s="245">
        <f t="shared" si="13"/>
        <v>7.418857142857143</v>
      </c>
      <c r="V34" s="253">
        <f t="shared" si="12"/>
        <v>89.026285714285734</v>
      </c>
    </row>
    <row r="35" spans="2:24">
      <c r="B35" s="112" t="str">
        <f t="shared" si="9"/>
        <v>IL</v>
      </c>
      <c r="C35" s="112" t="str">
        <f t="shared" si="9"/>
        <v>Engineer</v>
      </c>
      <c r="D35" s="112">
        <f t="shared" si="9"/>
        <v>0</v>
      </c>
      <c r="E35" s="112" t="str">
        <f t="shared" si="9"/>
        <v>R&amp;D</v>
      </c>
      <c r="F35" s="26" t="str">
        <f>IF(F6="","",F6)</f>
        <v/>
      </c>
      <c r="G35" s="167">
        <v>20000</v>
      </c>
      <c r="H35" s="7"/>
      <c r="I35" s="7">
        <f>IF(F35="",(G35*Assumptions!$C$11+H35*Assumptions!$C$13)/USD,((G35+H35)*Assumptions!$D$11+Assumptions!$D$12))</f>
        <v>7418.8571428571431</v>
      </c>
      <c r="J35" s="145">
        <f t="shared" ref="J35:U35" si="14">J6*$I35/1000</f>
        <v>7.418857142857143</v>
      </c>
      <c r="K35" s="145">
        <f t="shared" si="14"/>
        <v>7.418857142857143</v>
      </c>
      <c r="L35" s="145">
        <f t="shared" si="14"/>
        <v>7.418857142857143</v>
      </c>
      <c r="M35" s="145">
        <f t="shared" si="14"/>
        <v>7.418857142857143</v>
      </c>
      <c r="N35" s="145">
        <f t="shared" si="14"/>
        <v>7.418857142857143</v>
      </c>
      <c r="O35" s="145">
        <f t="shared" si="14"/>
        <v>7.418857142857143</v>
      </c>
      <c r="P35" s="145">
        <f t="shared" si="14"/>
        <v>7.418857142857143</v>
      </c>
      <c r="Q35" s="145">
        <f t="shared" si="14"/>
        <v>7.418857142857143</v>
      </c>
      <c r="R35" s="145">
        <f t="shared" si="14"/>
        <v>7.418857142857143</v>
      </c>
      <c r="S35" s="145">
        <f t="shared" si="14"/>
        <v>7.418857142857143</v>
      </c>
      <c r="T35" s="145">
        <f t="shared" si="14"/>
        <v>7.418857142857143</v>
      </c>
      <c r="U35" s="245">
        <f t="shared" si="14"/>
        <v>7.418857142857143</v>
      </c>
      <c r="V35" s="253">
        <f t="shared" si="12"/>
        <v>89.026285714285734</v>
      </c>
    </row>
    <row r="36" spans="2:24">
      <c r="B36" s="112" t="str">
        <f t="shared" si="9"/>
        <v>IL</v>
      </c>
      <c r="C36" s="112" t="str">
        <f t="shared" si="9"/>
        <v>Engineer</v>
      </c>
      <c r="D36" s="112">
        <f t="shared" si="9"/>
        <v>0</v>
      </c>
      <c r="E36" s="112" t="str">
        <f t="shared" si="9"/>
        <v>R&amp;D</v>
      </c>
      <c r="F36" s="26" t="str">
        <f>IF(F7="","",F7)</f>
        <v/>
      </c>
      <c r="G36" s="167">
        <v>20000</v>
      </c>
      <c r="H36" s="7"/>
      <c r="I36" s="7">
        <f>IF(F36="",(G36*Assumptions!$C$11+H36*Assumptions!$C$13)/USD,((G36+H36)*Assumptions!$D$11+Assumptions!$D$12))</f>
        <v>7418.8571428571431</v>
      </c>
      <c r="J36" s="145">
        <f t="shared" ref="J36:U36" si="15">J7*$I36/1000</f>
        <v>0</v>
      </c>
      <c r="K36" s="145">
        <f t="shared" si="15"/>
        <v>0</v>
      </c>
      <c r="L36" s="145">
        <f t="shared" si="15"/>
        <v>0</v>
      </c>
      <c r="M36" s="145">
        <f t="shared" si="15"/>
        <v>7.418857142857143</v>
      </c>
      <c r="N36" s="145">
        <f t="shared" si="15"/>
        <v>7.418857142857143</v>
      </c>
      <c r="O36" s="145">
        <f t="shared" si="15"/>
        <v>7.418857142857143</v>
      </c>
      <c r="P36" s="145">
        <f t="shared" si="15"/>
        <v>7.418857142857143</v>
      </c>
      <c r="Q36" s="145">
        <f t="shared" si="15"/>
        <v>7.418857142857143</v>
      </c>
      <c r="R36" s="145">
        <f t="shared" si="15"/>
        <v>7.418857142857143</v>
      </c>
      <c r="S36" s="145">
        <f t="shared" si="15"/>
        <v>7.418857142857143</v>
      </c>
      <c r="T36" s="145">
        <f t="shared" si="15"/>
        <v>7.418857142857143</v>
      </c>
      <c r="U36" s="245">
        <f t="shared" si="15"/>
        <v>7.418857142857143</v>
      </c>
      <c r="V36" s="253">
        <f t="shared" si="12"/>
        <v>66.769714285714286</v>
      </c>
    </row>
    <row r="37" spans="2:24">
      <c r="B37" s="112" t="str">
        <f t="shared" si="9"/>
        <v>IL</v>
      </c>
      <c r="C37" s="112" t="str">
        <f t="shared" si="9"/>
        <v>QA</v>
      </c>
      <c r="D37" s="112">
        <f t="shared" si="9"/>
        <v>0</v>
      </c>
      <c r="E37" s="112" t="str">
        <f t="shared" si="9"/>
        <v>R&amp;D</v>
      </c>
      <c r="F37" s="26" t="str">
        <f>IF(F8="","",F8)</f>
        <v/>
      </c>
      <c r="G37" s="167">
        <v>20000</v>
      </c>
      <c r="H37" s="7"/>
      <c r="I37" s="7">
        <f>IF(F37="",(G37*Assumptions!$C$11+H37*Assumptions!$C$13)/USD,((G37+H37)*Assumptions!$D$11+Assumptions!$D$12))</f>
        <v>7418.8571428571431</v>
      </c>
      <c r="J37" s="145">
        <f t="shared" ref="J37:U37" si="16">J8*$I37/1000</f>
        <v>7.418857142857143</v>
      </c>
      <c r="K37" s="145">
        <f t="shared" si="16"/>
        <v>7.418857142857143</v>
      </c>
      <c r="L37" s="145">
        <f t="shared" si="16"/>
        <v>7.418857142857143</v>
      </c>
      <c r="M37" s="145">
        <f t="shared" si="16"/>
        <v>7.418857142857143</v>
      </c>
      <c r="N37" s="145">
        <f t="shared" si="16"/>
        <v>7.418857142857143</v>
      </c>
      <c r="O37" s="145">
        <f t="shared" si="16"/>
        <v>7.418857142857143</v>
      </c>
      <c r="P37" s="145">
        <f t="shared" si="16"/>
        <v>7.418857142857143</v>
      </c>
      <c r="Q37" s="145">
        <f t="shared" si="16"/>
        <v>7.418857142857143</v>
      </c>
      <c r="R37" s="145">
        <f t="shared" si="16"/>
        <v>7.418857142857143</v>
      </c>
      <c r="S37" s="145">
        <f t="shared" si="16"/>
        <v>7.418857142857143</v>
      </c>
      <c r="T37" s="145">
        <f t="shared" si="16"/>
        <v>7.418857142857143</v>
      </c>
      <c r="U37" s="245">
        <f t="shared" si="16"/>
        <v>7.418857142857143</v>
      </c>
      <c r="V37" s="253">
        <f t="shared" si="12"/>
        <v>89.026285714285734</v>
      </c>
    </row>
    <row r="38" spans="2:24">
      <c r="B38" s="112" t="str">
        <f t="shared" si="9"/>
        <v>IL</v>
      </c>
      <c r="C38" s="112" t="str">
        <f t="shared" si="9"/>
        <v>Professional Services</v>
      </c>
      <c r="D38" s="112">
        <f t="shared" si="9"/>
        <v>0</v>
      </c>
      <c r="E38" s="112" t="str">
        <f t="shared" si="9"/>
        <v>COGS</v>
      </c>
      <c r="F38" s="26" t="str">
        <f>IF(F9="","",F9)</f>
        <v/>
      </c>
      <c r="G38" s="167">
        <v>20000</v>
      </c>
      <c r="H38" s="7"/>
      <c r="I38" s="7">
        <f>IF(F38="",(G38*Assumptions!$C$11+H38*Assumptions!$C$13)/USD,((G38+H38)*Assumptions!$D$11+Assumptions!$D$12))</f>
        <v>7418.8571428571431</v>
      </c>
      <c r="J38" s="145">
        <f t="shared" ref="J38:U38" si="17">J9*$I38/1000</f>
        <v>7.418857142857143</v>
      </c>
      <c r="K38" s="145">
        <f t="shared" si="17"/>
        <v>7.418857142857143</v>
      </c>
      <c r="L38" s="145">
        <f t="shared" si="17"/>
        <v>7.418857142857143</v>
      </c>
      <c r="M38" s="145">
        <f t="shared" si="17"/>
        <v>7.418857142857143</v>
      </c>
      <c r="N38" s="145">
        <f t="shared" si="17"/>
        <v>7.418857142857143</v>
      </c>
      <c r="O38" s="145">
        <f t="shared" si="17"/>
        <v>7.418857142857143</v>
      </c>
      <c r="P38" s="145">
        <f t="shared" si="17"/>
        <v>7.418857142857143</v>
      </c>
      <c r="Q38" s="145">
        <f t="shared" si="17"/>
        <v>7.418857142857143</v>
      </c>
      <c r="R38" s="145">
        <f t="shared" si="17"/>
        <v>7.418857142857143</v>
      </c>
      <c r="S38" s="145">
        <f t="shared" si="17"/>
        <v>7.418857142857143</v>
      </c>
      <c r="T38" s="145">
        <f t="shared" si="17"/>
        <v>7.418857142857143</v>
      </c>
      <c r="U38" s="245">
        <f t="shared" si="17"/>
        <v>7.418857142857143</v>
      </c>
      <c r="V38" s="253">
        <f t="shared" si="12"/>
        <v>89.026285714285734</v>
      </c>
    </row>
    <row r="39" spans="2:24">
      <c r="B39" s="112" t="str">
        <f t="shared" si="9"/>
        <v>IL</v>
      </c>
      <c r="C39" s="112" t="str">
        <f t="shared" si="9"/>
        <v>Professional Services</v>
      </c>
      <c r="D39" s="112">
        <f t="shared" si="9"/>
        <v>0</v>
      </c>
      <c r="E39" s="112" t="str">
        <f t="shared" si="9"/>
        <v>COGS</v>
      </c>
      <c r="F39" s="26"/>
      <c r="G39" s="167">
        <v>20000</v>
      </c>
      <c r="H39" s="7"/>
      <c r="I39" s="7">
        <f>IF(F39="",(G39*Assumptions!$C$11+H39*Assumptions!$C$13)/USD,((G39+H39)*Assumptions!$D$11+Assumptions!$D$12))</f>
        <v>7418.8571428571431</v>
      </c>
      <c r="J39" s="145">
        <f t="shared" ref="J39:U39" si="18">J10*$I39/1000</f>
        <v>7.418857142857143</v>
      </c>
      <c r="K39" s="145">
        <f t="shared" si="18"/>
        <v>7.418857142857143</v>
      </c>
      <c r="L39" s="145">
        <f t="shared" si="18"/>
        <v>7.418857142857143</v>
      </c>
      <c r="M39" s="145">
        <f t="shared" si="18"/>
        <v>7.418857142857143</v>
      </c>
      <c r="N39" s="145">
        <f t="shared" si="18"/>
        <v>7.418857142857143</v>
      </c>
      <c r="O39" s="145">
        <f t="shared" si="18"/>
        <v>7.418857142857143</v>
      </c>
      <c r="P39" s="145">
        <f t="shared" si="18"/>
        <v>7.418857142857143</v>
      </c>
      <c r="Q39" s="145">
        <f t="shared" si="18"/>
        <v>7.418857142857143</v>
      </c>
      <c r="R39" s="145">
        <f t="shared" si="18"/>
        <v>7.418857142857143</v>
      </c>
      <c r="S39" s="145">
        <f t="shared" si="18"/>
        <v>7.418857142857143</v>
      </c>
      <c r="T39" s="145">
        <f t="shared" si="18"/>
        <v>7.418857142857143</v>
      </c>
      <c r="U39" s="245">
        <f t="shared" si="18"/>
        <v>7.418857142857143</v>
      </c>
      <c r="V39" s="253">
        <f t="shared" si="12"/>
        <v>89.026285714285734</v>
      </c>
    </row>
    <row r="40" spans="2:24">
      <c r="B40" s="112" t="str">
        <f t="shared" si="9"/>
        <v>IL</v>
      </c>
      <c r="C40" s="112" t="str">
        <f t="shared" si="9"/>
        <v>Project Manager</v>
      </c>
      <c r="D40" s="112">
        <f t="shared" si="9"/>
        <v>0</v>
      </c>
      <c r="E40" s="112" t="str">
        <f t="shared" si="9"/>
        <v>COGS</v>
      </c>
      <c r="F40" s="26" t="str">
        <f>IF(F11="","",F11)</f>
        <v/>
      </c>
      <c r="G40" s="167">
        <v>20000</v>
      </c>
      <c r="H40" s="167"/>
      <c r="I40" s="7">
        <f>IF(F40="",(G40*Assumptions!$C$11+H40*Assumptions!$C$13)/USD,((G40+H40)*Assumptions!$D$11+Assumptions!$D$12))</f>
        <v>7418.8571428571431</v>
      </c>
      <c r="J40" s="145">
        <f t="shared" ref="J40:U40" si="19">J11*$I40/1000</f>
        <v>7.418857142857143</v>
      </c>
      <c r="K40" s="145">
        <f t="shared" si="19"/>
        <v>7.418857142857143</v>
      </c>
      <c r="L40" s="145">
        <f t="shared" si="19"/>
        <v>7.418857142857143</v>
      </c>
      <c r="M40" s="145">
        <f t="shared" si="19"/>
        <v>7.418857142857143</v>
      </c>
      <c r="N40" s="145">
        <f t="shared" si="19"/>
        <v>7.418857142857143</v>
      </c>
      <c r="O40" s="145">
        <f t="shared" si="19"/>
        <v>7.418857142857143</v>
      </c>
      <c r="P40" s="145">
        <f t="shared" si="19"/>
        <v>7.418857142857143</v>
      </c>
      <c r="Q40" s="145">
        <f t="shared" si="19"/>
        <v>7.418857142857143</v>
      </c>
      <c r="R40" s="145">
        <f t="shared" si="19"/>
        <v>7.418857142857143</v>
      </c>
      <c r="S40" s="145">
        <f t="shared" si="19"/>
        <v>7.418857142857143</v>
      </c>
      <c r="T40" s="145">
        <f t="shared" si="19"/>
        <v>7.418857142857143</v>
      </c>
      <c r="U40" s="245">
        <f t="shared" si="19"/>
        <v>7.418857142857143</v>
      </c>
      <c r="V40" s="253">
        <f t="shared" si="12"/>
        <v>89.026285714285734</v>
      </c>
    </row>
    <row r="41" spans="2:24">
      <c r="B41" s="112" t="str">
        <f t="shared" si="9"/>
        <v>US</v>
      </c>
      <c r="C41" s="112" t="str">
        <f t="shared" si="9"/>
        <v>VP Sales</v>
      </c>
      <c r="D41" s="112">
        <f t="shared" si="9"/>
        <v>0</v>
      </c>
      <c r="E41" s="112" t="str">
        <f t="shared" si="9"/>
        <v>S&amp;M</v>
      </c>
      <c r="F41" s="26">
        <f>IF(F12="","",F12)</f>
        <v>1</v>
      </c>
      <c r="G41" s="7">
        <f>90000/12</f>
        <v>7500</v>
      </c>
      <c r="H41" s="7"/>
      <c r="I41" s="7">
        <f>IF(F41="",(G41*Assumptions!$C$11+H41*Assumptions!$C$13)/USD,((G41+H41)*Assumptions!$D$11+Assumptions!$D$12))</f>
        <v>9025</v>
      </c>
      <c r="J41" s="145">
        <f t="shared" ref="J41:U41" si="20">J12*$I41/1000</f>
        <v>9.0250000000000004</v>
      </c>
      <c r="K41" s="145">
        <f t="shared" si="20"/>
        <v>9.0250000000000004</v>
      </c>
      <c r="L41" s="145">
        <f t="shared" si="20"/>
        <v>9.0250000000000004</v>
      </c>
      <c r="M41" s="145">
        <f t="shared" si="20"/>
        <v>9.0250000000000004</v>
      </c>
      <c r="N41" s="145">
        <f t="shared" si="20"/>
        <v>9.0250000000000004</v>
      </c>
      <c r="O41" s="145">
        <f t="shared" si="20"/>
        <v>9.0250000000000004</v>
      </c>
      <c r="P41" s="145">
        <f t="shared" si="20"/>
        <v>9.0250000000000004</v>
      </c>
      <c r="Q41" s="145">
        <f t="shared" si="20"/>
        <v>9.0250000000000004</v>
      </c>
      <c r="R41" s="145">
        <f t="shared" si="20"/>
        <v>9.0250000000000004</v>
      </c>
      <c r="S41" s="145">
        <f t="shared" si="20"/>
        <v>9.0250000000000004</v>
      </c>
      <c r="T41" s="145">
        <f t="shared" si="20"/>
        <v>9.0250000000000004</v>
      </c>
      <c r="U41" s="245">
        <f t="shared" si="20"/>
        <v>9.0250000000000004</v>
      </c>
      <c r="V41" s="253">
        <f t="shared" si="12"/>
        <v>108.30000000000003</v>
      </c>
    </row>
    <row r="42" spans="2:24">
      <c r="B42" s="112" t="str">
        <f t="shared" si="9"/>
        <v>US</v>
      </c>
      <c r="C42" s="112" t="str">
        <f t="shared" si="9"/>
        <v>Business Development Manager</v>
      </c>
      <c r="D42" s="112">
        <f t="shared" si="9"/>
        <v>0</v>
      </c>
      <c r="E42" s="112" t="str">
        <f t="shared" si="9"/>
        <v>S&amp;M</v>
      </c>
      <c r="F42" s="26">
        <f>IF(F13="","",F13)</f>
        <v>1</v>
      </c>
      <c r="G42" s="7">
        <f t="shared" ref="G42:G44" si="21">60000/12</f>
        <v>5000</v>
      </c>
      <c r="H42" s="7"/>
      <c r="I42" s="7">
        <f>IF(F42="",(G42*Assumptions!$C$11+H42*Assumptions!$C$13)/USD,((G42+H42)*Assumptions!$D$11+Assumptions!$D$12))</f>
        <v>6150</v>
      </c>
      <c r="J42" s="145">
        <f t="shared" ref="J42:U42" si="22">J13*$I42/1000</f>
        <v>0</v>
      </c>
      <c r="K42" s="145">
        <f t="shared" si="22"/>
        <v>0</v>
      </c>
      <c r="L42" s="145">
        <f t="shared" si="22"/>
        <v>6.15</v>
      </c>
      <c r="M42" s="145">
        <f t="shared" si="22"/>
        <v>6.15</v>
      </c>
      <c r="N42" s="145">
        <f t="shared" si="22"/>
        <v>6.15</v>
      </c>
      <c r="O42" s="145">
        <f t="shared" si="22"/>
        <v>6.15</v>
      </c>
      <c r="P42" s="145">
        <f t="shared" si="22"/>
        <v>6.15</v>
      </c>
      <c r="Q42" s="145">
        <f t="shared" si="22"/>
        <v>6.15</v>
      </c>
      <c r="R42" s="145">
        <f t="shared" si="22"/>
        <v>6.15</v>
      </c>
      <c r="S42" s="145">
        <f t="shared" si="22"/>
        <v>6.15</v>
      </c>
      <c r="T42" s="145">
        <f t="shared" si="22"/>
        <v>6.15</v>
      </c>
      <c r="U42" s="245">
        <f t="shared" si="22"/>
        <v>6.15</v>
      </c>
      <c r="V42" s="253">
        <f t="shared" si="12"/>
        <v>61.499999999999993</v>
      </c>
    </row>
    <row r="43" spans="2:24">
      <c r="B43" s="112" t="str">
        <f t="shared" si="9"/>
        <v>US</v>
      </c>
      <c r="C43" s="112" t="str">
        <f t="shared" si="9"/>
        <v>Sales Manager</v>
      </c>
      <c r="D43" s="112">
        <f t="shared" si="9"/>
        <v>0</v>
      </c>
      <c r="E43" s="112" t="str">
        <f t="shared" si="9"/>
        <v>S&amp;M</v>
      </c>
      <c r="F43" s="26">
        <f>IF(F14="","",F14)</f>
        <v>1</v>
      </c>
      <c r="G43" s="7">
        <f t="shared" si="21"/>
        <v>5000</v>
      </c>
      <c r="H43" s="7"/>
      <c r="I43" s="7">
        <f>IF(F43="",(G43*Assumptions!$C$11+H43*Assumptions!$C$13)/USD,((G43+H43)*Assumptions!$D$11+Assumptions!$D$12))</f>
        <v>6150</v>
      </c>
      <c r="J43" s="145">
        <f t="shared" ref="J43:U43" si="23">J14*$I43/1000</f>
        <v>0</v>
      </c>
      <c r="K43" s="145">
        <f t="shared" si="23"/>
        <v>0</v>
      </c>
      <c r="L43" s="145">
        <f t="shared" si="23"/>
        <v>0</v>
      </c>
      <c r="M43" s="145">
        <f t="shared" si="23"/>
        <v>6.15</v>
      </c>
      <c r="N43" s="145">
        <f t="shared" si="23"/>
        <v>6.15</v>
      </c>
      <c r="O43" s="145">
        <f t="shared" si="23"/>
        <v>6.15</v>
      </c>
      <c r="P43" s="145">
        <f t="shared" si="23"/>
        <v>6.15</v>
      </c>
      <c r="Q43" s="145">
        <f t="shared" si="23"/>
        <v>6.15</v>
      </c>
      <c r="R43" s="145">
        <f t="shared" si="23"/>
        <v>6.15</v>
      </c>
      <c r="S43" s="145">
        <f t="shared" si="23"/>
        <v>6.15</v>
      </c>
      <c r="T43" s="145">
        <f t="shared" si="23"/>
        <v>6.15</v>
      </c>
      <c r="U43" s="245">
        <f t="shared" si="23"/>
        <v>6.15</v>
      </c>
      <c r="V43" s="253">
        <f t="shared" si="12"/>
        <v>55.349999999999994</v>
      </c>
    </row>
    <row r="44" spans="2:24">
      <c r="B44" s="112" t="str">
        <f t="shared" si="9"/>
        <v>US</v>
      </c>
      <c r="C44" s="112" t="str">
        <f t="shared" si="9"/>
        <v>Inside Sales</v>
      </c>
      <c r="D44" s="112">
        <f t="shared" si="9"/>
        <v>0</v>
      </c>
      <c r="E44" s="112" t="str">
        <f t="shared" si="9"/>
        <v>S&amp;M</v>
      </c>
      <c r="F44" s="26">
        <f>IF(F15="","",F15)</f>
        <v>1</v>
      </c>
      <c r="G44" s="7">
        <f t="shared" si="21"/>
        <v>5000</v>
      </c>
      <c r="H44" s="7"/>
      <c r="I44" s="7">
        <f>IF(F44="",(G44*Assumptions!$C$11+H44*Assumptions!$C$13)/USD,((G44+H44)*Assumptions!$D$11+Assumptions!$D$12))</f>
        <v>6150</v>
      </c>
      <c r="J44" s="145">
        <f t="shared" ref="J44:U44" si="24">J15*$I44/1000</f>
        <v>0</v>
      </c>
      <c r="K44" s="145">
        <f t="shared" si="24"/>
        <v>0</v>
      </c>
      <c r="L44" s="145">
        <f t="shared" si="24"/>
        <v>0</v>
      </c>
      <c r="M44" s="145">
        <f t="shared" si="24"/>
        <v>0</v>
      </c>
      <c r="N44" s="145">
        <f t="shared" si="24"/>
        <v>6.15</v>
      </c>
      <c r="O44" s="145">
        <f t="shared" si="24"/>
        <v>6.15</v>
      </c>
      <c r="P44" s="145">
        <f t="shared" si="24"/>
        <v>6.15</v>
      </c>
      <c r="Q44" s="145">
        <f t="shared" si="24"/>
        <v>6.15</v>
      </c>
      <c r="R44" s="145">
        <f t="shared" si="24"/>
        <v>6.15</v>
      </c>
      <c r="S44" s="145">
        <f t="shared" si="24"/>
        <v>6.15</v>
      </c>
      <c r="T44" s="145">
        <f t="shared" si="24"/>
        <v>6.15</v>
      </c>
      <c r="U44" s="245">
        <f t="shared" si="24"/>
        <v>6.15</v>
      </c>
      <c r="V44" s="253">
        <f t="shared" si="12"/>
        <v>49.199999999999996</v>
      </c>
    </row>
    <row r="45" spans="2:24">
      <c r="B45" s="111"/>
      <c r="C45" s="112"/>
      <c r="D45" s="112"/>
      <c r="E45" s="112"/>
      <c r="F45" s="26"/>
      <c r="G45" s="7"/>
      <c r="H45" s="7"/>
      <c r="I45" s="7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245"/>
      <c r="V45" s="254"/>
    </row>
    <row r="46" spans="2:24">
      <c r="B46" s="111"/>
      <c r="C46" s="111"/>
      <c r="D46" s="112"/>
      <c r="E46" s="112"/>
      <c r="F46" s="26"/>
      <c r="G46" s="110"/>
      <c r="H46" s="7"/>
      <c r="I46" s="7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245"/>
      <c r="V46" s="254"/>
    </row>
    <row r="47" spans="2:24" s="23" customFormat="1" ht="13">
      <c r="B47" s="12" t="s">
        <v>154</v>
      </c>
      <c r="C47" s="12"/>
      <c r="D47" s="249"/>
      <c r="E47" s="249"/>
      <c r="F47" s="9"/>
      <c r="G47" s="250"/>
      <c r="H47" s="250"/>
      <c r="I47" s="251"/>
      <c r="J47" s="147">
        <f t="shared" ref="J47:U47" si="25">SUMIF($E$32:$E$46,"COGS",J32:J46)</f>
        <v>22.25657142857143</v>
      </c>
      <c r="K47" s="147">
        <f t="shared" si="25"/>
        <v>22.25657142857143</v>
      </c>
      <c r="L47" s="147">
        <f t="shared" si="25"/>
        <v>22.25657142857143</v>
      </c>
      <c r="M47" s="147">
        <f t="shared" si="25"/>
        <v>22.25657142857143</v>
      </c>
      <c r="N47" s="147">
        <f t="shared" si="25"/>
        <v>22.25657142857143</v>
      </c>
      <c r="O47" s="147">
        <f t="shared" si="25"/>
        <v>22.25657142857143</v>
      </c>
      <c r="P47" s="147">
        <f t="shared" si="25"/>
        <v>22.25657142857143</v>
      </c>
      <c r="Q47" s="147">
        <f t="shared" si="25"/>
        <v>22.25657142857143</v>
      </c>
      <c r="R47" s="147">
        <f t="shared" si="25"/>
        <v>22.25657142857143</v>
      </c>
      <c r="S47" s="147">
        <f t="shared" si="25"/>
        <v>22.25657142857143</v>
      </c>
      <c r="T47" s="147">
        <f t="shared" si="25"/>
        <v>22.25657142857143</v>
      </c>
      <c r="U47" s="246">
        <f t="shared" si="25"/>
        <v>22.25657142857143</v>
      </c>
      <c r="V47" s="255">
        <f>SUM(J47:U47)</f>
        <v>267.07885714285709</v>
      </c>
    </row>
    <row r="48" spans="2:24" s="23" customFormat="1" ht="13">
      <c r="B48" s="12" t="s">
        <v>40</v>
      </c>
      <c r="C48" s="12"/>
      <c r="D48" s="249"/>
      <c r="E48" s="249"/>
      <c r="F48" s="9"/>
      <c r="G48" s="250"/>
      <c r="H48" s="250"/>
      <c r="I48" s="251"/>
      <c r="J48" s="147">
        <f t="shared" ref="J48:U48" si="26">SUMIF($E$32:$E$46,"R&amp;D",J32:J46)</f>
        <v>33.384857142857143</v>
      </c>
      <c r="K48" s="147">
        <f t="shared" si="26"/>
        <v>33.384857142857143</v>
      </c>
      <c r="L48" s="147">
        <f t="shared" si="26"/>
        <v>33.384857142857143</v>
      </c>
      <c r="M48" s="147">
        <f t="shared" si="26"/>
        <v>40.803714285714285</v>
      </c>
      <c r="N48" s="147">
        <f t="shared" si="26"/>
        <v>40.803714285714285</v>
      </c>
      <c r="O48" s="147">
        <f t="shared" si="26"/>
        <v>40.803714285714285</v>
      </c>
      <c r="P48" s="147">
        <f t="shared" si="26"/>
        <v>40.803714285714285</v>
      </c>
      <c r="Q48" s="147">
        <f t="shared" si="26"/>
        <v>40.803714285714285</v>
      </c>
      <c r="R48" s="147">
        <f t="shared" si="26"/>
        <v>40.803714285714285</v>
      </c>
      <c r="S48" s="147">
        <f t="shared" si="26"/>
        <v>40.803714285714285</v>
      </c>
      <c r="T48" s="147">
        <f t="shared" si="26"/>
        <v>40.803714285714285</v>
      </c>
      <c r="U48" s="246">
        <f t="shared" si="26"/>
        <v>40.803714285714285</v>
      </c>
      <c r="V48" s="255">
        <f t="shared" ref="V48:V50" si="27">SUM(J48:U48)</f>
        <v>467.38800000000009</v>
      </c>
      <c r="X48" s="39"/>
    </row>
    <row r="49" spans="2:28" s="23" customFormat="1" ht="13">
      <c r="B49" s="12" t="s">
        <v>41</v>
      </c>
      <c r="C49" s="12"/>
      <c r="D49" s="249"/>
      <c r="E49" s="249"/>
      <c r="F49" s="9"/>
      <c r="G49" s="250"/>
      <c r="H49" s="250"/>
      <c r="I49" s="251"/>
      <c r="J49" s="147">
        <f t="shared" ref="J49:U49" si="28">SUMIF($E$32:$E$46,"S&amp;M",J32:J46)</f>
        <v>9.0250000000000004</v>
      </c>
      <c r="K49" s="147">
        <f t="shared" si="28"/>
        <v>9.0250000000000004</v>
      </c>
      <c r="L49" s="147">
        <f t="shared" si="28"/>
        <v>15.175000000000001</v>
      </c>
      <c r="M49" s="147">
        <f t="shared" si="28"/>
        <v>21.325000000000003</v>
      </c>
      <c r="N49" s="147">
        <f t="shared" si="28"/>
        <v>27.475000000000001</v>
      </c>
      <c r="O49" s="147">
        <f t="shared" si="28"/>
        <v>27.475000000000001</v>
      </c>
      <c r="P49" s="147">
        <f t="shared" si="28"/>
        <v>27.475000000000001</v>
      </c>
      <c r="Q49" s="147">
        <f t="shared" si="28"/>
        <v>27.475000000000001</v>
      </c>
      <c r="R49" s="147">
        <f t="shared" si="28"/>
        <v>27.475000000000001</v>
      </c>
      <c r="S49" s="147">
        <f t="shared" si="28"/>
        <v>27.475000000000001</v>
      </c>
      <c r="T49" s="147">
        <f t="shared" si="28"/>
        <v>27.475000000000001</v>
      </c>
      <c r="U49" s="246">
        <f t="shared" si="28"/>
        <v>27.475000000000001</v>
      </c>
      <c r="V49" s="255">
        <f t="shared" si="27"/>
        <v>274.34999999999997</v>
      </c>
    </row>
    <row r="50" spans="2:28" s="23" customFormat="1" ht="13.5" thickBot="1">
      <c r="B50" s="256" t="s">
        <v>42</v>
      </c>
      <c r="C50" s="256"/>
      <c r="D50" s="257"/>
      <c r="E50" s="257"/>
      <c r="F50" s="258"/>
      <c r="G50" s="259"/>
      <c r="H50" s="259"/>
      <c r="I50" s="260"/>
      <c r="J50" s="261">
        <f t="shared" ref="J50:U50" si="29">SUMIF($E$32:$E$46,"G&amp;A",J32:J46)</f>
        <v>11.128285714285713</v>
      </c>
      <c r="K50" s="261">
        <f t="shared" si="29"/>
        <v>11.128285714285713</v>
      </c>
      <c r="L50" s="261">
        <f t="shared" si="29"/>
        <v>11.128285714285713</v>
      </c>
      <c r="M50" s="261">
        <f t="shared" si="29"/>
        <v>11.128285714285713</v>
      </c>
      <c r="N50" s="261">
        <f t="shared" si="29"/>
        <v>11.128285714285713</v>
      </c>
      <c r="O50" s="261">
        <f t="shared" si="29"/>
        <v>11.128285714285713</v>
      </c>
      <c r="P50" s="261">
        <f t="shared" si="29"/>
        <v>11.128285714285713</v>
      </c>
      <c r="Q50" s="261">
        <f t="shared" si="29"/>
        <v>11.128285714285713</v>
      </c>
      <c r="R50" s="261">
        <f t="shared" si="29"/>
        <v>11.128285714285713</v>
      </c>
      <c r="S50" s="261">
        <f t="shared" si="29"/>
        <v>11.128285714285713</v>
      </c>
      <c r="T50" s="261">
        <f t="shared" si="29"/>
        <v>11.128285714285713</v>
      </c>
      <c r="U50" s="262">
        <f t="shared" si="29"/>
        <v>11.128285714285713</v>
      </c>
      <c r="V50" s="263">
        <f t="shared" si="27"/>
        <v>133.53942857142854</v>
      </c>
    </row>
    <row r="51" spans="2:28" ht="13.5" thickBot="1">
      <c r="B51" s="335" t="s">
        <v>21</v>
      </c>
      <c r="C51" s="336"/>
      <c r="D51" s="336"/>
      <c r="E51" s="337"/>
      <c r="F51" s="338"/>
      <c r="G51" s="338"/>
      <c r="H51" s="338"/>
      <c r="I51" s="338"/>
      <c r="J51" s="326">
        <f t="shared" ref="J51:O51" si="30">SUM(J47:J50)</f>
        <v>75.794714285714292</v>
      </c>
      <c r="K51" s="326">
        <f t="shared" si="30"/>
        <v>75.794714285714292</v>
      </c>
      <c r="L51" s="326">
        <f t="shared" si="30"/>
        <v>81.944714285714284</v>
      </c>
      <c r="M51" s="326">
        <f t="shared" si="30"/>
        <v>95.513571428571424</v>
      </c>
      <c r="N51" s="326">
        <f t="shared" si="30"/>
        <v>101.66357142857143</v>
      </c>
      <c r="O51" s="326">
        <f t="shared" si="30"/>
        <v>101.66357142857143</v>
      </c>
      <c r="P51" s="326">
        <f t="shared" ref="P51:V51" si="31">SUM(P47:P50)</f>
        <v>101.66357142857143</v>
      </c>
      <c r="Q51" s="326">
        <f t="shared" si="31"/>
        <v>101.66357142857143</v>
      </c>
      <c r="R51" s="326">
        <f t="shared" si="31"/>
        <v>101.66357142857143</v>
      </c>
      <c r="S51" s="326">
        <f t="shared" si="31"/>
        <v>101.66357142857143</v>
      </c>
      <c r="T51" s="326">
        <f t="shared" si="31"/>
        <v>101.66357142857143</v>
      </c>
      <c r="U51" s="339">
        <f t="shared" si="31"/>
        <v>101.66357142857143</v>
      </c>
      <c r="V51" s="340">
        <f t="shared" si="31"/>
        <v>1142.3562857142856</v>
      </c>
    </row>
    <row r="52" spans="2:28" ht="13">
      <c r="B52" s="109"/>
      <c r="C52" s="108"/>
      <c r="D52" s="108"/>
      <c r="E52" s="109"/>
      <c r="F52" s="33"/>
      <c r="G52" s="33"/>
      <c r="H52" s="33"/>
      <c r="I52" s="33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</row>
    <row r="53" spans="2:28"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</row>
    <row r="55" spans="2:28" s="23" customFormat="1" ht="13"/>
    <row r="56" spans="2:28" s="23" customFormat="1" ht="13"/>
    <row r="57" spans="2:28">
      <c r="D57" s="25"/>
      <c r="E57" s="25"/>
      <c r="F57" s="25"/>
      <c r="G57" s="25"/>
      <c r="H57" s="25"/>
      <c r="I57" s="25"/>
    </row>
    <row r="58" spans="2:28">
      <c r="D58" s="25"/>
      <c r="E58" s="25"/>
      <c r="F58" s="25"/>
      <c r="G58" s="25"/>
      <c r="H58" s="25"/>
      <c r="I58" s="25"/>
      <c r="AB58" s="123"/>
    </row>
    <row r="59" spans="2:28">
      <c r="D59" s="25"/>
      <c r="E59" s="25"/>
      <c r="F59" s="25"/>
      <c r="G59" s="25"/>
      <c r="H59" s="25"/>
      <c r="I59" s="25"/>
      <c r="AB59" s="123"/>
    </row>
    <row r="60" spans="2:28">
      <c r="D60" s="25"/>
      <c r="E60" s="25"/>
      <c r="F60" s="25"/>
      <c r="G60" s="25"/>
      <c r="H60" s="25"/>
      <c r="I60" s="25"/>
      <c r="AB60" s="123"/>
    </row>
    <row r="61" spans="2:28">
      <c r="D61" s="25"/>
      <c r="E61" s="25"/>
      <c r="F61" s="25"/>
      <c r="G61" s="25"/>
      <c r="H61" s="25"/>
      <c r="I61" s="25"/>
    </row>
    <row r="62" spans="2:28" s="124" customFormat="1" ht="13">
      <c r="B62" s="109"/>
      <c r="C62" s="108"/>
      <c r="D62" s="108"/>
      <c r="E62" s="109"/>
      <c r="F62" s="33"/>
      <c r="G62" s="33"/>
      <c r="H62" s="33"/>
      <c r="I62" s="33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</row>
    <row r="63" spans="2:28" ht="13">
      <c r="B63" s="109"/>
      <c r="C63" s="108"/>
      <c r="D63" s="108"/>
      <c r="E63" s="109"/>
      <c r="F63" s="33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</row>
    <row r="64" spans="2:28" ht="13">
      <c r="B64" s="109"/>
      <c r="C64" s="108"/>
      <c r="D64" s="108"/>
      <c r="E64" s="109"/>
      <c r="F64" s="33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</row>
    <row r="65" spans="2:21" ht="13">
      <c r="B65" s="109"/>
      <c r="C65" s="108"/>
      <c r="D65" s="108"/>
      <c r="E65" s="109"/>
      <c r="F65" s="33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</row>
    <row r="66" spans="2:21" ht="13">
      <c r="B66" s="109"/>
      <c r="C66" s="108"/>
      <c r="D66" s="108"/>
      <c r="E66" s="109"/>
      <c r="F66" s="33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</row>
    <row r="67" spans="2:21" ht="13">
      <c r="B67" s="109"/>
      <c r="C67" s="108"/>
      <c r="D67" s="108"/>
      <c r="E67" s="109"/>
      <c r="F67" s="33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</row>
    <row r="68" spans="2:21" ht="13">
      <c r="B68" s="109"/>
      <c r="C68" s="108"/>
      <c r="D68" s="108"/>
      <c r="E68" s="109"/>
      <c r="F68" s="33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</row>
    <row r="72" spans="2:21">
      <c r="H72" s="25"/>
      <c r="I72" s="25"/>
    </row>
    <row r="73" spans="2:21">
      <c r="H73" s="25"/>
      <c r="I73" s="25"/>
    </row>
    <row r="74" spans="2:21">
      <c r="H74" s="25"/>
      <c r="I74" s="25"/>
    </row>
  </sheetData>
  <phoneticPr fontId="21" type="noConversion"/>
  <pageMargins left="0.75" right="0.75" top="1" bottom="1" header="0.5" footer="0.5"/>
  <pageSetup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zoomScaleNormal="100" workbookViewId="0">
      <pane ySplit="3" topLeftCell="A4" activePane="bottomLeft" state="frozen"/>
      <selection pane="bottomLeft" activeCell="A17" sqref="A17"/>
    </sheetView>
  </sheetViews>
  <sheetFormatPr defaultColWidth="9.1796875" defaultRowHeight="12.5"/>
  <cols>
    <col min="1" max="1" width="1.81640625" style="19" customWidth="1"/>
    <col min="2" max="2" width="44.1796875" style="19" customWidth="1"/>
    <col min="3" max="3" width="11.81640625" style="19" customWidth="1"/>
    <col min="4" max="4" width="10.81640625" style="19" customWidth="1"/>
    <col min="5" max="5" width="13.7265625" style="19" customWidth="1"/>
    <col min="6" max="16384" width="9.1796875" style="19"/>
  </cols>
  <sheetData>
    <row r="1" spans="1:8" s="14" customFormat="1" ht="15.5">
      <c r="A1" s="13"/>
      <c r="B1" s="462" t="s">
        <v>149</v>
      </c>
      <c r="C1" s="463"/>
      <c r="D1" s="464"/>
    </row>
    <row r="2" spans="1:8" s="14" customFormat="1" ht="15.5">
      <c r="B2" s="465" t="s">
        <v>150</v>
      </c>
      <c r="C2" s="466"/>
      <c r="D2" s="467"/>
    </row>
    <row r="3" spans="1:8" s="14" customFormat="1" ht="16" thickBot="1">
      <c r="B3" s="468" t="s">
        <v>163</v>
      </c>
      <c r="C3" s="469"/>
      <c r="D3" s="470"/>
      <c r="E3" s="11"/>
    </row>
    <row r="4" spans="1:8" s="17" customFormat="1" ht="13.5" thickBot="1">
      <c r="A4" s="15"/>
      <c r="B4" s="19"/>
      <c r="C4" s="8"/>
      <c r="D4" s="8"/>
      <c r="E4" s="16"/>
    </row>
    <row r="5" spans="1:8" ht="13">
      <c r="A5" s="17"/>
      <c r="B5" s="351" t="s">
        <v>22</v>
      </c>
      <c r="C5" s="352" t="s">
        <v>94</v>
      </c>
      <c r="D5" s="353" t="s">
        <v>95</v>
      </c>
      <c r="E5" s="18"/>
    </row>
    <row r="6" spans="1:8" s="15" customFormat="1">
      <c r="A6" s="19"/>
      <c r="B6" s="354" t="s">
        <v>20</v>
      </c>
      <c r="C6" s="21">
        <v>3.5</v>
      </c>
      <c r="D6" s="355"/>
      <c r="E6" s="13"/>
      <c r="F6" s="19"/>
      <c r="G6" s="19"/>
    </row>
    <row r="7" spans="1:8" s="15" customFormat="1">
      <c r="A7" s="19"/>
      <c r="B7" s="354" t="s">
        <v>101</v>
      </c>
      <c r="C7" s="471">
        <v>1.05</v>
      </c>
      <c r="D7" s="472"/>
      <c r="E7" s="13" t="s">
        <v>127</v>
      </c>
      <c r="F7" s="19"/>
      <c r="G7" s="19"/>
    </row>
    <row r="8" spans="1:8" s="15" customFormat="1">
      <c r="A8" s="19"/>
      <c r="B8" s="354" t="s">
        <v>102</v>
      </c>
      <c r="C8" s="471">
        <v>0.1</v>
      </c>
      <c r="D8" s="475"/>
      <c r="E8" s="13"/>
      <c r="F8" s="19"/>
      <c r="G8" s="19"/>
    </row>
    <row r="9" spans="1:8" s="15" customFormat="1">
      <c r="A9" s="19"/>
      <c r="B9" s="354" t="s">
        <v>103</v>
      </c>
      <c r="C9" s="471">
        <v>0</v>
      </c>
      <c r="D9" s="475"/>
      <c r="E9" s="13"/>
      <c r="F9" s="19"/>
      <c r="G9" s="19"/>
    </row>
    <row r="10" spans="1:8" s="15" customFormat="1">
      <c r="A10" s="19"/>
      <c r="B10" s="354" t="s">
        <v>123</v>
      </c>
      <c r="C10" s="476">
        <v>1.4999999999999999E-2</v>
      </c>
      <c r="D10" s="477"/>
      <c r="E10" s="13"/>
      <c r="F10" s="19"/>
      <c r="G10" s="19"/>
    </row>
    <row r="11" spans="1:8" s="17" customFormat="1">
      <c r="A11" s="15"/>
      <c r="B11" s="354" t="s">
        <v>66</v>
      </c>
      <c r="C11" s="277">
        <f>(1+(5%+5%+8.33%+1%)+3%+7.5%)</f>
        <v>1.2983</v>
      </c>
      <c r="D11" s="356">
        <v>1.1499999999999999</v>
      </c>
      <c r="E11" s="13"/>
      <c r="F11" s="19"/>
      <c r="G11" s="19"/>
    </row>
    <row r="12" spans="1:8" s="17" customFormat="1">
      <c r="A12" s="15"/>
      <c r="B12" s="354" t="s">
        <v>100</v>
      </c>
      <c r="C12" s="277"/>
      <c r="D12" s="357">
        <v>400</v>
      </c>
      <c r="E12" s="13"/>
      <c r="F12" s="19"/>
      <c r="G12" s="19"/>
    </row>
    <row r="13" spans="1:8">
      <c r="A13" s="17"/>
      <c r="B13" s="354" t="s">
        <v>128</v>
      </c>
      <c r="C13" s="277">
        <v>1.06</v>
      </c>
      <c r="D13" s="358">
        <v>1.1499999999999999</v>
      </c>
      <c r="E13" s="13"/>
    </row>
    <row r="14" spans="1:8" s="15" customFormat="1">
      <c r="A14" s="19"/>
      <c r="B14" s="354" t="s">
        <v>44</v>
      </c>
      <c r="C14" s="473">
        <v>1000</v>
      </c>
      <c r="D14" s="474"/>
      <c r="E14" s="13"/>
      <c r="F14" s="19"/>
      <c r="G14" s="19"/>
      <c r="H14" s="205"/>
    </row>
    <row r="15" spans="1:8" s="17" customFormat="1">
      <c r="A15" s="15"/>
      <c r="B15" s="354" t="s">
        <v>45</v>
      </c>
      <c r="C15" s="478">
        <f>1800+(250+60+130)*5</f>
        <v>4000</v>
      </c>
      <c r="D15" s="479"/>
      <c r="E15" s="13"/>
      <c r="F15" s="19"/>
      <c r="G15" s="19"/>
    </row>
    <row r="16" spans="1:8" s="15" customFormat="1">
      <c r="A16" s="19"/>
      <c r="B16" s="354" t="s">
        <v>54</v>
      </c>
      <c r="C16" s="478">
        <f>2000+500</f>
        <v>2500</v>
      </c>
      <c r="D16" s="479"/>
      <c r="E16" s="13"/>
      <c r="F16" s="19"/>
      <c r="G16" s="19"/>
    </row>
    <row r="17" spans="1:7" s="17" customFormat="1">
      <c r="A17" s="15"/>
      <c r="B17" s="354" t="s">
        <v>55</v>
      </c>
      <c r="C17" s="478">
        <v>300</v>
      </c>
      <c r="D17" s="479"/>
      <c r="E17" s="13"/>
      <c r="F17" s="19"/>
      <c r="G17" s="19"/>
    </row>
    <row r="18" spans="1:7">
      <c r="A18" s="17"/>
      <c r="B18" s="73" t="s">
        <v>79</v>
      </c>
      <c r="C18" s="276">
        <v>200</v>
      </c>
      <c r="D18" s="359">
        <v>150</v>
      </c>
      <c r="E18" s="22" t="s">
        <v>56</v>
      </c>
    </row>
    <row r="19" spans="1:7">
      <c r="A19" s="17"/>
      <c r="B19" s="73" t="s">
        <v>112</v>
      </c>
      <c r="C19" s="473">
        <v>100</v>
      </c>
      <c r="D19" s="474"/>
      <c r="E19" s="22" t="s">
        <v>56</v>
      </c>
    </row>
    <row r="20" spans="1:7" s="17" customFormat="1" ht="13" thickBot="1">
      <c r="A20" s="15"/>
      <c r="B20" s="360" t="s">
        <v>107</v>
      </c>
      <c r="C20" s="480">
        <v>0.15</v>
      </c>
      <c r="D20" s="481"/>
      <c r="E20" s="13"/>
      <c r="F20" s="19"/>
      <c r="G20" s="19"/>
    </row>
    <row r="21" spans="1:7">
      <c r="B21" s="10"/>
      <c r="C21" s="20"/>
      <c r="D21" s="13"/>
    </row>
    <row r="22" spans="1:7">
      <c r="B22" s="10"/>
      <c r="C22" s="20"/>
      <c r="D22" s="13"/>
    </row>
    <row r="24" spans="1:7" ht="13">
      <c r="B24" s="139" t="s">
        <v>151</v>
      </c>
      <c r="C24" s="175">
        <v>1000000</v>
      </c>
    </row>
  </sheetData>
  <mergeCells count="13">
    <mergeCell ref="C19:D19"/>
    <mergeCell ref="C10:D10"/>
    <mergeCell ref="C17:D17"/>
    <mergeCell ref="C20:D20"/>
    <mergeCell ref="C15:D15"/>
    <mergeCell ref="C16:D16"/>
    <mergeCell ref="B1:D1"/>
    <mergeCell ref="B2:D2"/>
    <mergeCell ref="B3:D3"/>
    <mergeCell ref="C7:D7"/>
    <mergeCell ref="C14:D14"/>
    <mergeCell ref="C8:D8"/>
    <mergeCell ref="C9:D9"/>
  </mergeCells>
  <phoneticPr fontId="3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High lights</vt:lpstr>
      <vt:lpstr>Monthly P&amp;L</vt:lpstr>
      <vt:lpstr>Revenue</vt:lpstr>
      <vt:lpstr>Expenses</vt:lpstr>
      <vt:lpstr>Payroll &amp; related</vt:lpstr>
      <vt:lpstr>Assumptions</vt:lpstr>
      <vt:lpstr>abroad</vt:lpstr>
      <vt:lpstr>IL_comm_Overhead</vt:lpstr>
      <vt:lpstr>IL_Sallary_Overhead</vt:lpstr>
      <vt:lpstr>US_Sallary_Overhead</vt:lpstr>
      <vt:lpstr>USD</vt:lpstr>
    </vt:vector>
  </TitlesOfParts>
  <Company>ZAG Industries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Moti Barokas</dc:creator>
  <cp:lastModifiedBy>Inbal Peer</cp:lastModifiedBy>
  <cp:lastPrinted>2020-02-06T16:56:55Z</cp:lastPrinted>
  <dcterms:created xsi:type="dcterms:W3CDTF">2006-08-18T14:35:48Z</dcterms:created>
  <dcterms:modified xsi:type="dcterms:W3CDTF">2020-05-18T08:40:25Z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